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6" yWindow="65426" windowWidth="19420" windowHeight="1042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<sst xmlns="http://schemas.openxmlformats.org/spreadsheetml/2006/main" count="166" uniqueCount="113">
  <si>
    <t>Proposed uses for $335 million* of additional annual funding from levy lid lift -- 8 Year Programming of the 10 year scenario</t>
  </si>
  <si>
    <t>* assumes no annexations</t>
  </si>
  <si>
    <t xml:space="preserve"> </t>
  </si>
  <si>
    <t>CIP Support Staffing Allocation</t>
  </si>
  <si>
    <t>Portfolio</t>
  </si>
  <si>
    <t>Project</t>
  </si>
  <si>
    <t>8-year Total</t>
  </si>
  <si>
    <t>Adjusted Total</t>
  </si>
  <si>
    <t>A</t>
  </si>
  <si>
    <t>Additional Levy Funds</t>
  </si>
  <si>
    <t>less:</t>
  </si>
  <si>
    <t>Operating</t>
  </si>
  <si>
    <t>Operating staff implications for CIP program below</t>
  </si>
  <si>
    <t>ESJ Pipeline to work (PPM + TBD crews, apprenticeship, etc)</t>
  </si>
  <si>
    <t>Enhanced Vegetation and Litter Management</t>
  </si>
  <si>
    <t>Road Ranger Progam -  Make 2nd (Covid 7) Crew Permanent</t>
  </si>
  <si>
    <t>Strategic Planning and Evaluation -- Major reports</t>
  </si>
  <si>
    <t>Required to Maintain Operating Level of Service -- needed beginning 2030</t>
  </si>
  <si>
    <t>Total Operating</t>
  </si>
  <si>
    <t>B</t>
  </si>
  <si>
    <t>Available to Capital Fund</t>
  </si>
  <si>
    <t>Required to Maintain CIP Preservation Programs' Level of Service</t>
  </si>
  <si>
    <t>Quick Response</t>
  </si>
  <si>
    <t>1129584 - RSD CWP Quick Response</t>
  </si>
  <si>
    <t>Roadway</t>
  </si>
  <si>
    <t>1129585 - RSD CWP Roadway Preservation</t>
  </si>
  <si>
    <t>Bridges and Drainage</t>
  </si>
  <si>
    <t>1129586 - RSD CWP Drainage Preservation</t>
  </si>
  <si>
    <t>1129588 - RSD CWP Bridge Priority Maintenance</t>
  </si>
  <si>
    <t>Traffic Control/Safety</t>
  </si>
  <si>
    <t>1129590 - RSD CWP High Collision Safety</t>
  </si>
  <si>
    <t>Roadside</t>
  </si>
  <si>
    <t>1129587 - RSD CWP Guardrail Preservation</t>
  </si>
  <si>
    <t>1129591 - RSD CWP School Zone Safety</t>
  </si>
  <si>
    <t>1134093 - RSD CWP Traffic Safety</t>
  </si>
  <si>
    <t>1139147 - RSD CWP ADA Program</t>
  </si>
  <si>
    <t>1139286 - RSD CWP Bridge Load Upgrade</t>
  </si>
  <si>
    <t>Grant Matching and Contingency</t>
  </si>
  <si>
    <t>1129582 &amp; 1129592 - RSD Emergent Need (Calculated project contingency)</t>
  </si>
  <si>
    <t>C</t>
  </si>
  <si>
    <t>Total To Maintain CIP Level of Service</t>
  </si>
  <si>
    <t>D=B-C</t>
  </si>
  <si>
    <r>
      <t xml:space="preserve">Annual Surplus / </t>
    </r>
    <r>
      <rPr>
        <sz val="11"/>
        <color rgb="FFFF0000"/>
        <rFont val="Calibri"/>
        <family val="2"/>
        <scheme val="minor"/>
      </rPr>
      <t>(Shortfall)</t>
    </r>
  </si>
  <si>
    <r>
      <t>E=G</t>
    </r>
    <r>
      <rPr>
        <b/>
        <sz val="8"/>
        <color theme="1"/>
        <rFont val="Calibri"/>
        <family val="2"/>
        <scheme val="minor"/>
      </rPr>
      <t>(prior year)</t>
    </r>
  </si>
  <si>
    <t>Carryforward funding</t>
  </si>
  <si>
    <t>F=D+E</t>
  </si>
  <si>
    <t>Available for Programming</t>
  </si>
  <si>
    <t>ProRata Staff Costs</t>
  </si>
  <si>
    <t>Reserve for grant match, leveraging funding, and/or federalization of projects</t>
  </si>
  <si>
    <t>CWP Paving Enhancement for Arterials</t>
  </si>
  <si>
    <t>Active Transportation -- ADA Enhancement (supports 1 maint crew, contractor, design)</t>
  </si>
  <si>
    <t>CWP Traffic Safety -- neighborhood calming</t>
  </si>
  <si>
    <t>Traffic Calming -- 10th Ave SW between SW 108th St and SW 116th St</t>
  </si>
  <si>
    <t>Traffic Calming -- SW 102nd St between 8th Ave SW and 13th Ave SW *in current PAAs</t>
  </si>
  <si>
    <t>Traffic Calming -- 8th Ave SW, from SW 100th St to SW 108th St</t>
  </si>
  <si>
    <t>Traffic Calming -- S Lakeridge Drive / 78th Ave S between Rainier Ave S &amp; S 120th St</t>
  </si>
  <si>
    <t>Enumclaw Area Intersection Safety  Evaluation and Optimization (HAL/HARS)</t>
  </si>
  <si>
    <t xml:space="preserve">Chip Seal / Overlay for Local Access Roads </t>
  </si>
  <si>
    <t>CWP Guardrail Preservation for Local Access Roads</t>
  </si>
  <si>
    <t>Short Span Bridge Replacement / Timber Bridge Replacement Program</t>
  </si>
  <si>
    <t>Short Span Bridge Replacement -- Bear Creek Bridge No. 480A</t>
  </si>
  <si>
    <t>Short Span Bridge Replacement -- Cottage Lake No. 240A</t>
  </si>
  <si>
    <t>Bridge Replacement -- Issaquah Creek No. 1741A (CN: design already funded)</t>
  </si>
  <si>
    <t>Intersection Improvement -- West Snoqualmie RD at Woodinville Duvall (High Collision Safety)</t>
  </si>
  <si>
    <t>Intersection Improvement -- Kent Kangley at Landsberg (High Collision Safety)</t>
  </si>
  <si>
    <t>Intersection Improvement -- SE Green Valley Road and 218th (High Collision Safety)</t>
  </si>
  <si>
    <t>Intersection Improvement -- Issaquah Hobart at May Valley</t>
  </si>
  <si>
    <t>Intersection Improvement -- Issaquah Hobart at Cedar Grove Rd</t>
  </si>
  <si>
    <t>RSD Emergent Need (Calculated Project Contingency)</t>
  </si>
  <si>
    <t>G</t>
  </si>
  <si>
    <t>Total Additional Capital -- "Buy"</t>
  </si>
  <si>
    <t>H=F-G</t>
  </si>
  <si>
    <t>Reserve to fund  2027 - 2031 annual shortfall (carryforward)</t>
  </si>
  <si>
    <t>Potential Project Funding Leveraging Programed Match above</t>
  </si>
  <si>
    <t>Unhide rows to see summations that generate summary graph.</t>
  </si>
  <si>
    <t>Summations for Graph</t>
  </si>
  <si>
    <t>Current Planned Operating Transfer to Capital</t>
  </si>
  <si>
    <t>Not Graphed</t>
  </si>
  <si>
    <t>Total Addition to Capital</t>
  </si>
  <si>
    <t>High Sollision Safety Funding</t>
  </si>
  <si>
    <t>Adjustment to Smooth High Collision Safety Funding</t>
  </si>
  <si>
    <t>Addition to Existing CIP Funding</t>
  </si>
  <si>
    <t>Capital Funding</t>
  </si>
  <si>
    <t>Blank for Graph</t>
  </si>
  <si>
    <t>Future Operating Shortfall</t>
  </si>
  <si>
    <t>Dup for Graph</t>
  </si>
  <si>
    <t>Addition to Operations</t>
  </si>
  <si>
    <t>Diff for Graph</t>
  </si>
  <si>
    <t>CWP Program Totals</t>
  </si>
  <si>
    <t>RSD CWP Quick Response</t>
  </si>
  <si>
    <t>Current Plan</t>
  </si>
  <si>
    <t>New Funding</t>
  </si>
  <si>
    <t>Total CWP Quick Response</t>
  </si>
  <si>
    <t>RSD CWP Roadway Preservation</t>
  </si>
  <si>
    <t>Total CWP Roadway Preservation</t>
  </si>
  <si>
    <t>RSD CWP Drainage Preservation -- Crews</t>
  </si>
  <si>
    <t>Total CWP Drainage</t>
  </si>
  <si>
    <t>RSD CWP Bridge Priority Maintenance</t>
  </si>
  <si>
    <t>Total CWP Bridges Priority Maintenance</t>
  </si>
  <si>
    <t>RSD CWP High Collision Safety</t>
  </si>
  <si>
    <t>Total CWP Collision Safety</t>
  </si>
  <si>
    <t>RSD CWP Guardrail Preservation</t>
  </si>
  <si>
    <t>Total CWP Guardrail Preservation</t>
  </si>
  <si>
    <t>RSD CWP School Zone Safety</t>
  </si>
  <si>
    <t>Total CWP School Zone Safety</t>
  </si>
  <si>
    <t>RSD CWP Traffic Safety</t>
  </si>
  <si>
    <t>Total CWP Traffic Safety</t>
  </si>
  <si>
    <t>RSD CWP ADA Program</t>
  </si>
  <si>
    <t>Total CWP ADA Program</t>
  </si>
  <si>
    <t>RSD CWP Bridge Load Upgrade</t>
  </si>
  <si>
    <t>Total CWP Bridge Load Upgrade</t>
  </si>
  <si>
    <t>RSD Emergent Need</t>
  </si>
  <si>
    <t>Total RSD Emergent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</si>
</sst>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_);[Red]\(#,##0.00000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1"/>
      <color rgb="FF000000"/>
      <name val="+mn-cs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Up">
        <bgColor theme="7" tint="0.5999900102615356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B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rgb="FF00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rgb="FF000000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rgb="FF000000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164" fontId="0" fillId="0" borderId="0" xfId="18" applyNumberFormat="1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/>
    <xf numFmtId="38" fontId="3" fillId="2" borderId="5" xfId="0" applyNumberFormat="1" applyFont="1" applyFill="1" applyBorder="1"/>
    <xf numFmtId="38" fontId="3" fillId="2" borderId="6" xfId="0" applyNumberFormat="1" applyFont="1" applyFill="1" applyBorder="1"/>
    <xf numFmtId="0" fontId="6" fillId="0" borderId="4" xfId="0" applyFont="1" applyBorder="1"/>
    <xf numFmtId="38" fontId="0" fillId="0" borderId="5" xfId="0" applyNumberFormat="1" applyBorder="1"/>
    <xf numFmtId="38" fontId="0" fillId="0" borderId="6" xfId="0" applyNumberFormat="1" applyBorder="1"/>
    <xf numFmtId="38" fontId="0" fillId="0" borderId="0" xfId="0" applyNumberFormat="1"/>
    <xf numFmtId="0" fontId="0" fillId="0" borderId="7" xfId="0" applyBorder="1"/>
    <xf numFmtId="38" fontId="0" fillId="0" borderId="8" xfId="0" applyNumberFormat="1" applyBorder="1"/>
    <xf numFmtId="38" fontId="0" fillId="0" borderId="9" xfId="0" applyNumberFormat="1" applyBorder="1"/>
    <xf numFmtId="0" fontId="3" fillId="2" borderId="4" xfId="0" applyFont="1" applyFill="1" applyBorder="1" applyAlignment="1">
      <alignment vertical="top" wrapText="1"/>
    </xf>
    <xf numFmtId="38" fontId="0" fillId="2" borderId="2" xfId="0" applyNumberFormat="1" applyFill="1" applyBorder="1"/>
    <xf numFmtId="38" fontId="0" fillId="2" borderId="3" xfId="0" applyNumberFormat="1" applyFill="1" applyBorder="1"/>
    <xf numFmtId="0" fontId="0" fillId="0" borderId="4" xfId="0" applyBorder="1"/>
    <xf numFmtId="0" fontId="3" fillId="3" borderId="4" xfId="0" applyFont="1" applyFill="1" applyBorder="1"/>
    <xf numFmtId="38" fontId="3" fillId="3" borderId="5" xfId="0" applyNumberFormat="1" applyFont="1" applyFill="1" applyBorder="1"/>
    <xf numFmtId="38" fontId="3" fillId="3" borderId="6" xfId="0" applyNumberFormat="1" applyFont="1" applyFill="1" applyBorder="1"/>
    <xf numFmtId="0" fontId="0" fillId="0" borderId="4" xfId="0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38" fontId="0" fillId="2" borderId="5" xfId="0" applyNumberFormat="1" applyFill="1" applyBorder="1"/>
    <xf numFmtId="38" fontId="0" fillId="2" borderId="6" xfId="0" applyNumberFormat="1" applyFill="1" applyBorder="1"/>
    <xf numFmtId="0" fontId="0" fillId="0" borderId="10" xfId="0" applyBorder="1"/>
    <xf numFmtId="38" fontId="0" fillId="0" borderId="11" xfId="0" applyNumberFormat="1" applyBorder="1"/>
    <xf numFmtId="38" fontId="0" fillId="0" borderId="12" xfId="0" applyNumberFormat="1" applyBorder="1"/>
    <xf numFmtId="38" fontId="0" fillId="0" borderId="2" xfId="0" applyNumberFormat="1" applyBorder="1"/>
    <xf numFmtId="38" fontId="0" fillId="0" borderId="3" xfId="0" applyNumberFormat="1" applyBorder="1"/>
    <xf numFmtId="38" fontId="3" fillId="4" borderId="5" xfId="0" applyNumberFormat="1" applyFont="1" applyFill="1" applyBorder="1"/>
    <xf numFmtId="38" fontId="3" fillId="4" borderId="6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5" borderId="4" xfId="0" applyFill="1" applyBorder="1"/>
    <xf numFmtId="38" fontId="0" fillId="5" borderId="11" xfId="0" applyNumberFormat="1" applyFill="1" applyBorder="1"/>
    <xf numFmtId="38" fontId="0" fillId="5" borderId="12" xfId="0" applyNumberFormat="1" applyFill="1" applyBorder="1"/>
    <xf numFmtId="0" fontId="3" fillId="5" borderId="4" xfId="0" applyFont="1" applyFill="1" applyBorder="1"/>
    <xf numFmtId="164" fontId="0" fillId="0" borderId="0" xfId="0" applyNumberFormat="1"/>
    <xf numFmtId="0" fontId="0" fillId="6" borderId="4" xfId="0" applyFill="1" applyBorder="1"/>
    <xf numFmtId="38" fontId="0" fillId="0" borderId="13" xfId="0" applyNumberFormat="1" applyBorder="1"/>
    <xf numFmtId="0" fontId="8" fillId="6" borderId="4" xfId="0" applyFont="1" applyFill="1" applyBorder="1"/>
    <xf numFmtId="0" fontId="3" fillId="2" borderId="14" xfId="0" applyFont="1" applyFill="1" applyBorder="1"/>
    <xf numFmtId="38" fontId="3" fillId="2" borderId="15" xfId="0" applyNumberFormat="1" applyFont="1" applyFill="1" applyBorder="1"/>
    <xf numFmtId="38" fontId="3" fillId="2" borderId="16" xfId="0" applyNumberFormat="1" applyFont="1" applyFill="1" applyBorder="1"/>
    <xf numFmtId="165" fontId="0" fillId="0" borderId="0" xfId="0" applyNumberFormat="1"/>
    <xf numFmtId="0" fontId="0" fillId="0" borderId="14" xfId="0" applyBorder="1"/>
    <xf numFmtId="38" fontId="0" fillId="0" borderId="15" xfId="0" applyNumberFormat="1" applyBorder="1"/>
    <xf numFmtId="38" fontId="0" fillId="0" borderId="16" xfId="0" applyNumberFormat="1" applyBorder="1"/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8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64" fontId="0" fillId="0" borderId="0" xfId="18" applyNumberFormat="1" applyFont="1" applyBorder="1"/>
    <xf numFmtId="0" fontId="0" fillId="7" borderId="0" xfId="0" applyFill="1"/>
    <xf numFmtId="38" fontId="0" fillId="7" borderId="0" xfId="0" applyNumberFormat="1" applyFill="1"/>
    <xf numFmtId="0" fontId="9" fillId="0" borderId="0" xfId="0" applyFont="1"/>
    <xf numFmtId="0" fontId="0" fillId="2" borderId="0" xfId="0" applyFill="1"/>
    <xf numFmtId="38" fontId="0" fillId="0" borderId="17" xfId="0" applyNumberFormat="1" applyBorder="1"/>
    <xf numFmtId="38" fontId="0" fillId="0" borderId="18" xfId="0" applyNumberFormat="1" applyBorder="1"/>
    <xf numFmtId="0" fontId="0" fillId="8" borderId="0" xfId="0" applyFill="1"/>
    <xf numFmtId="38" fontId="0" fillId="8" borderId="19" xfId="0" applyNumberFormat="1" applyFill="1" applyBorder="1"/>
    <xf numFmtId="38" fontId="0" fillId="8" borderId="20" xfId="0" applyNumberFormat="1" applyFill="1" applyBorder="1"/>
    <xf numFmtId="0" fontId="10" fillId="0" borderId="0" xfId="0" applyFont="1"/>
    <xf numFmtId="0" fontId="11" fillId="0" borderId="4" xfId="0" applyFont="1" applyBorder="1"/>
    <xf numFmtId="38" fontId="11" fillId="0" borderId="5" xfId="0" applyNumberFormat="1" applyFont="1" applyBorder="1"/>
    <xf numFmtId="38" fontId="11" fillId="0" borderId="6" xfId="0" applyNumberFormat="1" applyFont="1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8</xdr:row>
      <xdr:rowOff>57150</xdr:rowOff>
    </xdr:from>
    <xdr:to>
      <xdr:col>13</xdr:col>
      <xdr:colOff>590550</xdr:colOff>
      <xdr:row>37</xdr:row>
      <xdr:rowOff>47625</xdr:rowOff>
    </xdr:to>
    <xdr:cxnSp macro="">
      <xdr:nvCxnSpPr>
        <xdr:cNvPr id="2" name="Straight Arrow Connector 1"/>
        <xdr:cNvCxnSpPr/>
      </xdr:nvCxnSpPr>
      <xdr:spPr>
        <a:xfrm flipH="1">
          <a:off x="14954250" y="2266950"/>
          <a:ext cx="47625" cy="5514975"/>
        </a:xfrm>
        <a:prstGeom prst="straightConnector1">
          <a:avLst/>
        </a:prstGeom>
        <a:ln w="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609600</xdr:colOff>
      <xdr:row>76</xdr:row>
      <xdr:rowOff>104775</xdr:rowOff>
    </xdr:from>
    <xdr:to>
      <xdr:col>14</xdr:col>
      <xdr:colOff>485775</xdr:colOff>
      <xdr:row>91</xdr:row>
      <xdr:rowOff>171450</xdr:rowOff>
    </xdr:to>
    <xdr:sp macro="" textlink="">
      <xdr:nvSpPr>
        <xdr:cNvPr id="3" name="Speech Bubble: Rectangle 1"/>
        <xdr:cNvSpPr/>
      </xdr:nvSpPr>
      <xdr:spPr>
        <a:xfrm>
          <a:off x="14192250" y="15440025"/>
          <a:ext cx="1676400" cy="638175"/>
        </a:xfrm>
        <a:prstGeom prst="wedgeRectCallout">
          <a:avLst>
            <a:gd name="adj1" fmla="val 39607"/>
            <a:gd name="adj2" fmla="val -125805"/>
          </a:avLst>
        </a:prstGeom>
        <a:noFill/>
        <a:ln>
          <a:solidFill>
            <a:schemeClr val="accent4">
              <a:lumMod val="40000"/>
              <a:lumOff val="6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carryforward supports 2030 &amp; 2031 programming commitments.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.sharepoint.com\teams\RoadsA\budgetandanalysis\fundingstrategies\Shared%20Documents\Levy%20Lid%20Lift%20(LLL)\Levy%20Lid%20Lift%20Programming%205.19.21%20Post%20CM%20Dunn%20Brief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yr Plan 5.17"/>
      <sheetName val="Proposed uses for additional $$"/>
      <sheetName val="Portfolio Summary"/>
      <sheetName val="Summary Graph"/>
      <sheetName val="Chart usage of funds &gt; 2030"/>
      <sheetName val="10 Scenario Graph WG"/>
      <sheetName val="Calculation of Needs"/>
      <sheetName val="Final Adopted 6-yr plan 11-20"/>
      <sheetName val="Summary at 4.21.21"/>
    </sheetNames>
    <sheetDataSet>
      <sheetData sheetId="0"/>
      <sheetData sheetId="1"/>
      <sheetData sheetId="2"/>
      <sheetData sheetId="3" refreshError="1"/>
      <sheetData sheetId="4"/>
      <sheetData sheetId="5"/>
      <sheetData sheetId="6">
        <row r="6">
          <cell r="D6">
            <v>1564500</v>
          </cell>
          <cell r="E6">
            <v>1500000</v>
          </cell>
          <cell r="F6">
            <v>1500000</v>
          </cell>
          <cell r="G6">
            <v>1500000</v>
          </cell>
          <cell r="H6">
            <v>1500000</v>
          </cell>
        </row>
        <row r="9">
          <cell r="D9">
            <v>1525500</v>
          </cell>
          <cell r="E9">
            <v>1682700</v>
          </cell>
          <cell r="F9">
            <v>1778181</v>
          </cell>
          <cell r="G9">
            <v>1876526.4300000002</v>
          </cell>
          <cell r="H9">
            <v>1977822.2229000004</v>
          </cell>
          <cell r="I9">
            <v>3582156.8895870005</v>
          </cell>
          <cell r="J9">
            <v>3689621.5962746106</v>
          </cell>
          <cell r="K9">
            <v>3800310.244162849</v>
          </cell>
        </row>
        <row r="13">
          <cell r="D13">
            <v>3043000</v>
          </cell>
          <cell r="E13">
            <v>2607237</v>
          </cell>
          <cell r="F13">
            <v>2607238</v>
          </cell>
          <cell r="G13">
            <v>2180283</v>
          </cell>
          <cell r="H13">
            <v>2180284</v>
          </cell>
        </row>
        <row r="15">
          <cell r="D15">
            <v>0</v>
          </cell>
          <cell r="E15">
            <v>527053</v>
          </cell>
          <cell r="F15">
            <v>621080.7000000002</v>
          </cell>
          <cell r="G15">
            <v>1144885.2610000004</v>
          </cell>
          <cell r="H15">
            <v>1244639.3088300005</v>
          </cell>
          <cell r="I15">
            <v>3527671.0080949008</v>
          </cell>
          <cell r="J15">
            <v>3633501.1383377477</v>
          </cell>
          <cell r="K15">
            <v>3742506.17248788</v>
          </cell>
        </row>
        <row r="20">
          <cell r="D20">
            <v>2993500</v>
          </cell>
          <cell r="E20">
            <v>3594925</v>
          </cell>
          <cell r="F20">
            <v>3806313</v>
          </cell>
          <cell r="G20">
            <v>4025708</v>
          </cell>
          <cell r="H20">
            <v>3637600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600000</v>
          </cell>
          <cell r="I22">
            <v>4364728</v>
          </cell>
          <cell r="J22">
            <v>4495669.84</v>
          </cell>
          <cell r="K22">
            <v>4630539.9352</v>
          </cell>
        </row>
        <row r="25">
          <cell r="D25">
            <v>563220</v>
          </cell>
          <cell r="E25">
            <v>414939</v>
          </cell>
          <cell r="F25">
            <v>440198</v>
          </cell>
          <cell r="G25">
            <v>749566</v>
          </cell>
          <cell r="H25">
            <v>777045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800356.35</v>
          </cell>
          <cell r="J27">
            <v>824367.0405</v>
          </cell>
          <cell r="K27">
            <v>849098.0517150001</v>
          </cell>
        </row>
        <row r="29">
          <cell r="D29">
            <v>2694600</v>
          </cell>
          <cell r="E29">
            <v>500000</v>
          </cell>
          <cell r="F29">
            <v>2000000</v>
          </cell>
          <cell r="G29">
            <v>300000</v>
          </cell>
          <cell r="H29">
            <v>2000000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230450</v>
          </cell>
          <cell r="H31">
            <v>0</v>
          </cell>
          <cell r="I31">
            <v>562754.405</v>
          </cell>
          <cell r="J31">
            <v>2000000</v>
          </cell>
          <cell r="K31">
            <v>597026.1482645</v>
          </cell>
        </row>
        <row r="33">
          <cell r="D33">
            <v>1000000</v>
          </cell>
          <cell r="E33">
            <v>200000</v>
          </cell>
          <cell r="F33">
            <v>0</v>
          </cell>
          <cell r="G33">
            <v>0</v>
          </cell>
          <cell r="H33">
            <v>0</v>
          </cell>
        </row>
        <row r="35">
          <cell r="D35">
            <v>0</v>
          </cell>
          <cell r="E35">
            <v>0</v>
          </cell>
          <cell r="F35">
            <v>206000</v>
          </cell>
          <cell r="G35">
            <v>212180</v>
          </cell>
          <cell r="H35">
            <v>218545.4</v>
          </cell>
          <cell r="I35">
            <v>225101.762</v>
          </cell>
          <cell r="J35">
            <v>231854.81485999998</v>
          </cell>
          <cell r="K35">
            <v>238810.4593058</v>
          </cell>
        </row>
        <row r="37">
          <cell r="D37">
            <v>52150</v>
          </cell>
          <cell r="E37">
            <v>54392</v>
          </cell>
          <cell r="F37">
            <v>56731</v>
          </cell>
          <cell r="G37">
            <v>59171</v>
          </cell>
          <cell r="H37">
            <v>61715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63566.450000000004</v>
          </cell>
          <cell r="J39">
            <v>65473.44350000001</v>
          </cell>
          <cell r="K39">
            <v>67437.64680500001</v>
          </cell>
        </row>
        <row r="41">
          <cell r="D41">
            <v>477950</v>
          </cell>
          <cell r="E41">
            <v>223500</v>
          </cell>
          <cell r="F41">
            <v>223500</v>
          </cell>
          <cell r="G41">
            <v>172000</v>
          </cell>
          <cell r="H41">
            <v>172000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177160</v>
          </cell>
          <cell r="J43">
            <v>182474.80000000002</v>
          </cell>
          <cell r="K43">
            <v>187949.04400000002</v>
          </cell>
        </row>
        <row r="45">
          <cell r="D45">
            <v>150000</v>
          </cell>
          <cell r="E45">
            <v>156450</v>
          </cell>
          <cell r="F45">
            <v>163177</v>
          </cell>
          <cell r="G45">
            <v>170194</v>
          </cell>
          <cell r="H45">
            <v>177512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182837.36000000002</v>
          </cell>
          <cell r="J47">
            <v>188322.48080000002</v>
          </cell>
          <cell r="K47">
            <v>193972.15522400002</v>
          </cell>
        </row>
        <row r="49">
          <cell r="D49">
            <v>505000</v>
          </cell>
          <cell r="E49">
            <v>680000</v>
          </cell>
          <cell r="F49">
            <v>400000</v>
          </cell>
          <cell r="G49">
            <v>400000</v>
          </cell>
          <cell r="H49">
            <v>400000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12000</v>
          </cell>
          <cell r="I51">
            <v>424360</v>
          </cell>
          <cell r="J51">
            <v>437090.8</v>
          </cell>
          <cell r="K51">
            <v>450203.524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8C2E-EEAA-42AB-8739-AABC5C023A40}">
  <dimension ref="A1:R139"/>
  <sheetViews>
    <sheetView tabSelected="1" zoomScale="80" zoomScaleNormal="80" workbookViewId="0" topLeftCell="D130">
      <selection activeCell="Q51" sqref="Q51"/>
    </sheetView>
  </sheetViews>
  <sheetFormatPr defaultColWidth="9.140625" defaultRowHeight="15"/>
  <cols>
    <col min="1" max="1" width="14.57421875" style="0" customWidth="1"/>
    <col min="2" max="2" width="21.421875" style="0" bestFit="1" customWidth="1"/>
    <col min="3" max="3" width="71.421875" style="0" customWidth="1"/>
    <col min="4" max="5" width="11.140625" style="0" bestFit="1" customWidth="1"/>
    <col min="6" max="10" width="11.8515625" style="0" bestFit="1" customWidth="1"/>
    <col min="11" max="11" width="11.57421875" style="0" bestFit="1" customWidth="1"/>
    <col min="12" max="12" width="3.140625" style="0" customWidth="1"/>
    <col min="13" max="13" width="12.421875" style="0" bestFit="1" customWidth="1"/>
    <col min="14" max="14" width="14.57421875" style="0" customWidth="1"/>
    <col min="15" max="15" width="14.140625" style="0" customWidth="1"/>
    <col min="16" max="16" width="37.57421875" style="2" bestFit="1" customWidth="1"/>
    <col min="17" max="17" width="19.421875" style="0" bestFit="1" customWidth="1"/>
  </cols>
  <sheetData>
    <row r="1" spans="1:2" ht="23.5">
      <c r="A1" s="1" t="s">
        <v>0</v>
      </c>
      <c r="B1" s="1"/>
    </row>
    <row r="2" ht="15">
      <c r="A2" t="s">
        <v>1</v>
      </c>
    </row>
    <row r="3" spans="1:15" ht="60.9" customHeight="1">
      <c r="A3" t="s">
        <v>2</v>
      </c>
      <c r="N3" s="77" t="s">
        <v>3</v>
      </c>
      <c r="O3" s="3"/>
    </row>
    <row r="4" ht="15">
      <c r="N4" s="77"/>
    </row>
    <row r="5" spans="2:15" ht="15">
      <c r="B5" s="4" t="s">
        <v>4</v>
      </c>
      <c r="C5" s="5" t="s">
        <v>5</v>
      </c>
      <c r="D5" s="6">
        <v>2022</v>
      </c>
      <c r="E5" s="6">
        <v>2023</v>
      </c>
      <c r="F5" s="6">
        <v>2024</v>
      </c>
      <c r="G5" s="6">
        <v>2025</v>
      </c>
      <c r="H5" s="6">
        <v>2026</v>
      </c>
      <c r="I5" s="6">
        <v>2027</v>
      </c>
      <c r="J5" s="7">
        <v>2028</v>
      </c>
      <c r="K5" s="7">
        <v>2029</v>
      </c>
      <c r="M5" s="7" t="s">
        <v>6</v>
      </c>
      <c r="N5" s="77"/>
      <c r="O5" s="7" t="s">
        <v>7</v>
      </c>
    </row>
    <row r="6" spans="1:15" ht="15">
      <c r="A6" s="8" t="s">
        <v>8</v>
      </c>
      <c r="B6" s="8"/>
      <c r="C6" s="9" t="s">
        <v>9</v>
      </c>
      <c r="D6" s="10">
        <v>30000000</v>
      </c>
      <c r="E6" s="10">
        <v>33700000</v>
      </c>
      <c r="F6" s="10">
        <v>37300000</v>
      </c>
      <c r="G6" s="10">
        <v>40900000</v>
      </c>
      <c r="H6" s="10">
        <v>44800000</v>
      </c>
      <c r="I6" s="10">
        <v>48900000</v>
      </c>
      <c r="J6" s="11">
        <v>49400000</v>
      </c>
      <c r="K6" s="11">
        <v>50000000</v>
      </c>
      <c r="M6" s="11">
        <f>SUM(D6:L6)</f>
        <v>335000000</v>
      </c>
      <c r="O6" s="11">
        <f>+M6</f>
        <v>335000000</v>
      </c>
    </row>
    <row r="7" spans="1:15" ht="15">
      <c r="A7" s="8"/>
      <c r="B7" s="8"/>
      <c r="C7" s="12" t="s">
        <v>10</v>
      </c>
      <c r="D7" s="13"/>
      <c r="E7" s="13"/>
      <c r="F7" s="13"/>
      <c r="G7" s="13"/>
      <c r="H7" s="13"/>
      <c r="I7" s="13"/>
      <c r="J7" s="14"/>
      <c r="K7" s="14"/>
      <c r="M7" s="14"/>
      <c r="O7" s="14"/>
    </row>
    <row r="8" spans="1:15" ht="15">
      <c r="A8" s="8"/>
      <c r="B8" s="8" t="s">
        <v>11</v>
      </c>
      <c r="C8" s="12" t="s">
        <v>12</v>
      </c>
      <c r="D8" s="13">
        <v>2250000</v>
      </c>
      <c r="E8" s="13">
        <f>+D8*1.03</f>
        <v>2317500</v>
      </c>
      <c r="F8" s="13">
        <f aca="true" t="shared" si="0" ref="F8:K9">+E8*1.03</f>
        <v>2387025</v>
      </c>
      <c r="G8" s="13">
        <f t="shared" si="0"/>
        <v>2458635.75</v>
      </c>
      <c r="H8" s="13">
        <f t="shared" si="0"/>
        <v>2532394.8225000002</v>
      </c>
      <c r="I8" s="13">
        <f t="shared" si="0"/>
        <v>2608366.6671750005</v>
      </c>
      <c r="J8" s="14">
        <f t="shared" si="0"/>
        <v>2686617.6671902505</v>
      </c>
      <c r="K8" s="14">
        <f t="shared" si="0"/>
        <v>2767216.197205958</v>
      </c>
      <c r="M8" s="14">
        <f>SUM(D8:L8)</f>
        <v>20007756.104071207</v>
      </c>
      <c r="N8" s="15">
        <f>-M8</f>
        <v>-20007756.104071207</v>
      </c>
      <c r="O8" s="14">
        <f>+N8+M8</f>
        <v>0</v>
      </c>
    </row>
    <row r="9" spans="1:15" ht="15">
      <c r="A9" s="8"/>
      <c r="B9" s="8" t="s">
        <v>11</v>
      </c>
      <c r="C9" s="12" t="s">
        <v>13</v>
      </c>
      <c r="D9" s="13">
        <v>150000</v>
      </c>
      <c r="E9" s="13">
        <v>1000000</v>
      </c>
      <c r="F9" s="13">
        <f>+E9*1.03</f>
        <v>1030000</v>
      </c>
      <c r="G9" s="13">
        <f t="shared" si="0"/>
        <v>1060900</v>
      </c>
      <c r="H9" s="13">
        <f t="shared" si="0"/>
        <v>1092727</v>
      </c>
      <c r="I9" s="13">
        <f t="shared" si="0"/>
        <v>1125508.81</v>
      </c>
      <c r="J9" s="14">
        <f t="shared" si="0"/>
        <v>1159274.0743</v>
      </c>
      <c r="K9" s="14">
        <f t="shared" si="0"/>
        <v>1194052.296529</v>
      </c>
      <c r="M9" s="14">
        <f>SUM(D9:L9)</f>
        <v>7812462.180829001</v>
      </c>
      <c r="O9" s="14">
        <f aca="true" t="shared" si="1" ref="O9:O12">+N9+M9</f>
        <v>7812462.180829001</v>
      </c>
    </row>
    <row r="10" spans="1:15" ht="15">
      <c r="A10" s="8"/>
      <c r="B10" s="8" t="s">
        <v>11</v>
      </c>
      <c r="C10" s="12" t="s">
        <v>14</v>
      </c>
      <c r="D10" s="13">
        <v>1500000</v>
      </c>
      <c r="E10" s="13">
        <f>+D10*1.03</f>
        <v>1545000</v>
      </c>
      <c r="F10" s="13">
        <f aca="true" t="shared" si="2" ref="F10:K11">+E10*1.03</f>
        <v>1591350</v>
      </c>
      <c r="G10" s="13">
        <f t="shared" si="2"/>
        <v>1639090.5</v>
      </c>
      <c r="H10" s="13">
        <f t="shared" si="2"/>
        <v>1688263.215</v>
      </c>
      <c r="I10" s="13">
        <f t="shared" si="2"/>
        <v>1738911.1114500002</v>
      </c>
      <c r="J10" s="14">
        <f t="shared" si="2"/>
        <v>1791078.4447935002</v>
      </c>
      <c r="K10" s="14">
        <f t="shared" si="2"/>
        <v>1844810.7981373053</v>
      </c>
      <c r="M10" s="14">
        <f>SUM(D10:L10)</f>
        <v>13338504.069380805</v>
      </c>
      <c r="O10" s="14">
        <f t="shared" si="1"/>
        <v>13338504.069380805</v>
      </c>
    </row>
    <row r="11" spans="1:15" ht="15">
      <c r="A11" s="8"/>
      <c r="B11" s="8" t="s">
        <v>11</v>
      </c>
      <c r="C11" s="12" t="s">
        <v>15</v>
      </c>
      <c r="D11" s="13">
        <v>1750000</v>
      </c>
      <c r="E11" s="13">
        <v>1200000</v>
      </c>
      <c r="F11" s="13">
        <f>+E11*1.03</f>
        <v>1236000</v>
      </c>
      <c r="G11" s="13">
        <f t="shared" si="2"/>
        <v>1273080</v>
      </c>
      <c r="H11" s="13">
        <f t="shared" si="2"/>
        <v>1311272.4000000001</v>
      </c>
      <c r="I11" s="13">
        <f t="shared" si="2"/>
        <v>1350610.5720000002</v>
      </c>
      <c r="J11" s="14">
        <f t="shared" si="2"/>
        <v>1391128.8891600003</v>
      </c>
      <c r="K11" s="14">
        <f t="shared" si="2"/>
        <v>1432862.7558348002</v>
      </c>
      <c r="M11" s="14">
        <f>SUM(D11:L11)</f>
        <v>10944954.616994802</v>
      </c>
      <c r="O11" s="14">
        <f t="shared" si="1"/>
        <v>10944954.616994802</v>
      </c>
    </row>
    <row r="12" spans="1:15" ht="15">
      <c r="A12" s="8"/>
      <c r="B12" s="8" t="s">
        <v>11</v>
      </c>
      <c r="C12" s="12" t="s">
        <v>16</v>
      </c>
      <c r="D12" s="13">
        <v>1000000</v>
      </c>
      <c r="E12" s="13">
        <v>1000000</v>
      </c>
      <c r="F12" s="13"/>
      <c r="G12" s="13"/>
      <c r="H12" s="13"/>
      <c r="I12" s="13"/>
      <c r="J12" s="14"/>
      <c r="K12" s="14"/>
      <c r="M12" s="14">
        <f>SUM(D12:L12)</f>
        <v>2000000</v>
      </c>
      <c r="O12" s="14">
        <f t="shared" si="1"/>
        <v>2000000</v>
      </c>
    </row>
    <row r="13" spans="1:15" ht="15">
      <c r="A13" s="8"/>
      <c r="B13" s="8"/>
      <c r="C13" s="12"/>
      <c r="D13" s="13"/>
      <c r="E13" s="13"/>
      <c r="F13" s="13"/>
      <c r="G13" s="13"/>
      <c r="H13" s="13"/>
      <c r="I13" s="13"/>
      <c r="J13" s="14"/>
      <c r="K13" s="14"/>
      <c r="M13" s="14"/>
      <c r="O13" s="14"/>
    </row>
    <row r="14" spans="1:15" ht="15">
      <c r="A14" s="8"/>
      <c r="B14" s="8"/>
      <c r="C14" s="12"/>
      <c r="D14" s="13"/>
      <c r="E14" s="13"/>
      <c r="F14" s="13"/>
      <c r="G14" s="13"/>
      <c r="H14" s="13"/>
      <c r="I14" s="13"/>
      <c r="J14" s="14"/>
      <c r="K14" s="14"/>
      <c r="M14" s="14"/>
      <c r="O14" s="14"/>
    </row>
    <row r="15" spans="1:15" ht="15">
      <c r="A15" s="8"/>
      <c r="B15" s="8" t="s">
        <v>11</v>
      </c>
      <c r="C15" s="16" t="s">
        <v>17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M15" s="18"/>
      <c r="O15" s="18"/>
    </row>
    <row r="16" spans="1:15" ht="15">
      <c r="A16" s="8"/>
      <c r="B16" s="8"/>
      <c r="C16" s="19" t="s">
        <v>18</v>
      </c>
      <c r="D16" s="20">
        <f>SUM(D8:D15)</f>
        <v>6650000</v>
      </c>
      <c r="E16" s="20">
        <f aca="true" t="shared" si="3" ref="E16:K16">SUM(E8:E15)</f>
        <v>7062500</v>
      </c>
      <c r="F16" s="20">
        <f t="shared" si="3"/>
        <v>6244375</v>
      </c>
      <c r="G16" s="20">
        <f t="shared" si="3"/>
        <v>6431706.25</v>
      </c>
      <c r="H16" s="20">
        <f t="shared" si="3"/>
        <v>6624657.437500001</v>
      </c>
      <c r="I16" s="20">
        <f t="shared" si="3"/>
        <v>6823397.160625001</v>
      </c>
      <c r="J16" s="20">
        <f t="shared" si="3"/>
        <v>7028099.07544375</v>
      </c>
      <c r="K16" s="21">
        <f t="shared" si="3"/>
        <v>7238942.047707063</v>
      </c>
      <c r="M16" s="21">
        <f>SUM(D16:L16)</f>
        <v>54103676.97127582</v>
      </c>
      <c r="O16" s="21">
        <f>SUM(O8:O15)</f>
        <v>34095920.86720461</v>
      </c>
    </row>
    <row r="17" spans="1:15" ht="15">
      <c r="A17" s="8"/>
      <c r="B17" s="8"/>
      <c r="C17" s="22"/>
      <c r="D17" s="13"/>
      <c r="E17" s="13"/>
      <c r="F17" s="13"/>
      <c r="G17" s="13"/>
      <c r="H17" s="13"/>
      <c r="I17" s="13"/>
      <c r="J17" s="13"/>
      <c r="K17" s="14"/>
      <c r="M17" s="14"/>
      <c r="O17" s="14"/>
    </row>
    <row r="18" spans="1:15" ht="15">
      <c r="A18" s="8" t="s">
        <v>19</v>
      </c>
      <c r="B18" s="8"/>
      <c r="C18" s="23" t="s">
        <v>20</v>
      </c>
      <c r="D18" s="24">
        <f aca="true" t="shared" si="4" ref="D18:M18">+D6-SUM(D8:D15)</f>
        <v>23350000</v>
      </c>
      <c r="E18" s="24">
        <f t="shared" si="4"/>
        <v>26637500</v>
      </c>
      <c r="F18" s="24">
        <f t="shared" si="4"/>
        <v>31055625</v>
      </c>
      <c r="G18" s="24">
        <f t="shared" si="4"/>
        <v>34468293.75</v>
      </c>
      <c r="H18" s="24">
        <f t="shared" si="4"/>
        <v>38175342.5625</v>
      </c>
      <c r="I18" s="24">
        <f t="shared" si="4"/>
        <v>42076602.839375</v>
      </c>
      <c r="J18" s="24">
        <f t="shared" si="4"/>
        <v>42371900.92455625</v>
      </c>
      <c r="K18" s="25">
        <f t="shared" si="4"/>
        <v>42761057.952292934</v>
      </c>
      <c r="M18" s="25">
        <f t="shared" si="4"/>
        <v>280896323.0287242</v>
      </c>
      <c r="O18" s="25">
        <f>+O6-O16</f>
        <v>300904079.1327954</v>
      </c>
    </row>
    <row r="19" spans="1:15" ht="15">
      <c r="A19" s="8"/>
      <c r="B19" s="8"/>
      <c r="C19" s="22"/>
      <c r="D19" s="13"/>
      <c r="E19" s="13"/>
      <c r="F19" s="13"/>
      <c r="G19" s="13"/>
      <c r="H19" s="13"/>
      <c r="I19" s="13"/>
      <c r="J19" s="14"/>
      <c r="K19" s="14"/>
      <c r="M19" s="14"/>
      <c r="O19" s="14"/>
    </row>
    <row r="20" spans="1:15" ht="15">
      <c r="A20" s="8"/>
      <c r="B20" s="8"/>
      <c r="C20" s="12" t="s">
        <v>21</v>
      </c>
      <c r="D20" s="13"/>
      <c r="E20" s="13"/>
      <c r="F20" s="13"/>
      <c r="G20" s="13"/>
      <c r="H20" s="13"/>
      <c r="I20" s="13"/>
      <c r="J20" s="14"/>
      <c r="K20" s="14"/>
      <c r="M20" s="14"/>
      <c r="O20" s="14"/>
    </row>
    <row r="21" spans="1:15" ht="15">
      <c r="A21" s="8"/>
      <c r="B21" s="8" t="s">
        <v>22</v>
      </c>
      <c r="C21" s="26" t="s">
        <v>23</v>
      </c>
      <c r="D21" s="13">
        <f>ROUND('[1]Calculation of Needs'!D9,-3)</f>
        <v>1526000</v>
      </c>
      <c r="E21" s="13">
        <f>ROUND('[1]Calculation of Needs'!E9,-3)</f>
        <v>1683000</v>
      </c>
      <c r="F21" s="13">
        <f>ROUND('[1]Calculation of Needs'!F9,-3)</f>
        <v>1778000</v>
      </c>
      <c r="G21" s="13">
        <f>ROUND('[1]Calculation of Needs'!G9,-3)</f>
        <v>1877000</v>
      </c>
      <c r="H21" s="13">
        <f>ROUND('[1]Calculation of Needs'!H9,-3)</f>
        <v>1978000</v>
      </c>
      <c r="I21" s="13">
        <f>ROUND('[1]Calculation of Needs'!I9,-3)</f>
        <v>3582000</v>
      </c>
      <c r="J21" s="14">
        <f>ROUND('[1]Calculation of Needs'!J9,-3)</f>
        <v>3690000</v>
      </c>
      <c r="K21" s="14">
        <f>ROUND('[1]Calculation of Needs'!K9,-3)</f>
        <v>3800000</v>
      </c>
      <c r="M21" s="14">
        <f aca="true" t="shared" si="5" ref="M21:M32">SUM(D21:L21)</f>
        <v>19914000</v>
      </c>
      <c r="O21" s="14">
        <f aca="true" t="shared" si="6" ref="O21:O32">+N21+M21</f>
        <v>19914000</v>
      </c>
    </row>
    <row r="22" spans="1:15" ht="15">
      <c r="A22" s="8"/>
      <c r="B22" s="8" t="s">
        <v>24</v>
      </c>
      <c r="C22" s="26" t="s">
        <v>25</v>
      </c>
      <c r="D22" s="13">
        <f>ROUND('[1]Calculation of Needs'!D15,-3)</f>
        <v>0</v>
      </c>
      <c r="E22" s="13">
        <f>ROUND('[1]Calculation of Needs'!E15,-3)</f>
        <v>527000</v>
      </c>
      <c r="F22" s="13">
        <f>ROUND('[1]Calculation of Needs'!F15,-3)</f>
        <v>621000</v>
      </c>
      <c r="G22" s="13">
        <f>ROUND('[1]Calculation of Needs'!G15,-3)</f>
        <v>1145000</v>
      </c>
      <c r="H22" s="13">
        <f>ROUND('[1]Calculation of Needs'!H15,-3)</f>
        <v>1245000</v>
      </c>
      <c r="I22" s="13">
        <f>ROUND('[1]Calculation of Needs'!I15,-3)</f>
        <v>3528000</v>
      </c>
      <c r="J22" s="14">
        <f>ROUND('[1]Calculation of Needs'!J15,-3)</f>
        <v>3634000</v>
      </c>
      <c r="K22" s="14">
        <f>ROUND('[1]Calculation of Needs'!K15,-3)</f>
        <v>3743000</v>
      </c>
      <c r="M22" s="14">
        <f t="shared" si="5"/>
        <v>14443000</v>
      </c>
      <c r="O22" s="14">
        <f t="shared" si="6"/>
        <v>14443000</v>
      </c>
    </row>
    <row r="23" spans="1:15" ht="15">
      <c r="A23" s="8"/>
      <c r="B23" s="8" t="s">
        <v>26</v>
      </c>
      <c r="C23" s="26" t="s">
        <v>27</v>
      </c>
      <c r="D23" s="13">
        <f>ROUND('[1]Calculation of Needs'!D22,-3)</f>
        <v>0</v>
      </c>
      <c r="E23" s="13">
        <f>ROUND('[1]Calculation of Needs'!E22,-3)</f>
        <v>0</v>
      </c>
      <c r="F23" s="13">
        <f>ROUND('[1]Calculation of Needs'!F22,-3)</f>
        <v>0</v>
      </c>
      <c r="G23" s="13">
        <f>ROUND('[1]Calculation of Needs'!G22,-3)</f>
        <v>0</v>
      </c>
      <c r="H23" s="13">
        <f>ROUND('[1]Calculation of Needs'!H22,-3)</f>
        <v>600000</v>
      </c>
      <c r="I23" s="13">
        <f>ROUND('[1]Calculation of Needs'!I22,-3)</f>
        <v>4365000</v>
      </c>
      <c r="J23" s="14">
        <f>ROUND('[1]Calculation of Needs'!J22,-3)</f>
        <v>4496000</v>
      </c>
      <c r="K23" s="14">
        <f>ROUND('[1]Calculation of Needs'!K22,-3)</f>
        <v>4631000</v>
      </c>
      <c r="M23" s="14">
        <f t="shared" si="5"/>
        <v>14092000</v>
      </c>
      <c r="O23" s="14">
        <f t="shared" si="6"/>
        <v>14092000</v>
      </c>
    </row>
    <row r="24" spans="1:15" ht="15">
      <c r="A24" s="8"/>
      <c r="B24" s="8" t="s">
        <v>26</v>
      </c>
      <c r="C24" s="26" t="s">
        <v>28</v>
      </c>
      <c r="D24" s="13">
        <f>ROUND('[1]Calculation of Needs'!D27,-3)</f>
        <v>0</v>
      </c>
      <c r="E24" s="13">
        <f>ROUND('[1]Calculation of Needs'!E27,-3)</f>
        <v>0</v>
      </c>
      <c r="F24" s="13">
        <f>ROUND('[1]Calculation of Needs'!F27,-3)</f>
        <v>0</v>
      </c>
      <c r="G24" s="13">
        <f>ROUND('[1]Calculation of Needs'!G27,-3)</f>
        <v>0</v>
      </c>
      <c r="H24" s="13">
        <f>ROUND('[1]Calculation of Needs'!H27,-3)</f>
        <v>0</v>
      </c>
      <c r="I24" s="13">
        <f>ROUND('[1]Calculation of Needs'!I27,-3)</f>
        <v>800000</v>
      </c>
      <c r="J24" s="14">
        <f>ROUND('[1]Calculation of Needs'!J27,-3)</f>
        <v>824000</v>
      </c>
      <c r="K24" s="14">
        <f>ROUND('[1]Calculation of Needs'!K27,-3)</f>
        <v>849000</v>
      </c>
      <c r="M24" s="14">
        <f t="shared" si="5"/>
        <v>2473000</v>
      </c>
      <c r="O24" s="14">
        <f t="shared" si="6"/>
        <v>2473000</v>
      </c>
    </row>
    <row r="25" spans="1:15" ht="15">
      <c r="A25" s="8"/>
      <c r="B25" s="8" t="s">
        <v>29</v>
      </c>
      <c r="C25" s="26" t="s">
        <v>30</v>
      </c>
      <c r="D25" s="13">
        <f>ROUND('[1]Calculation of Needs'!D31,-3)</f>
        <v>0</v>
      </c>
      <c r="E25" s="13">
        <f>ROUND('[1]Calculation of Needs'!E31,-3)</f>
        <v>0</v>
      </c>
      <c r="F25" s="13">
        <f>ROUND('[1]Calculation of Needs'!F31,-3)</f>
        <v>0</v>
      </c>
      <c r="G25" s="13">
        <f>ROUND('[1]Calculation of Needs'!G31,-3)</f>
        <v>230000</v>
      </c>
      <c r="H25" s="13">
        <f>ROUND('[1]Calculation of Needs'!H31,-3)</f>
        <v>0</v>
      </c>
      <c r="I25" s="13">
        <f>ROUND('[1]Calculation of Needs'!I31,-3)</f>
        <v>563000</v>
      </c>
      <c r="J25" s="14">
        <f>ROUND('[1]Calculation of Needs'!J31,-3)</f>
        <v>2000000</v>
      </c>
      <c r="K25" s="14">
        <f>ROUND('[1]Calculation of Needs'!K31,-3)</f>
        <v>597000</v>
      </c>
      <c r="M25" s="14">
        <f t="shared" si="5"/>
        <v>3390000</v>
      </c>
      <c r="O25" s="14">
        <f t="shared" si="6"/>
        <v>3390000</v>
      </c>
    </row>
    <row r="26" spans="1:15" ht="15">
      <c r="A26" s="8"/>
      <c r="B26" s="8" t="s">
        <v>31</v>
      </c>
      <c r="C26" s="26" t="s">
        <v>32</v>
      </c>
      <c r="D26" s="13">
        <f>ROUND('[1]Calculation of Needs'!D35,-3)</f>
        <v>0</v>
      </c>
      <c r="E26" s="13">
        <f>ROUND('[1]Calculation of Needs'!E35,-3)</f>
        <v>0</v>
      </c>
      <c r="F26" s="13">
        <f>ROUND('[1]Calculation of Needs'!F35,-3)</f>
        <v>206000</v>
      </c>
      <c r="G26" s="13">
        <f>ROUND('[1]Calculation of Needs'!G35,-3)</f>
        <v>212000</v>
      </c>
      <c r="H26" s="13">
        <f>ROUND('[1]Calculation of Needs'!H35,-3)</f>
        <v>219000</v>
      </c>
      <c r="I26" s="13">
        <f>ROUND('[1]Calculation of Needs'!I35,-3)</f>
        <v>225000</v>
      </c>
      <c r="J26" s="14">
        <f>ROUND('[1]Calculation of Needs'!J35,-3)</f>
        <v>232000</v>
      </c>
      <c r="K26" s="14">
        <f>ROUND('[1]Calculation of Needs'!K35,-3)</f>
        <v>239000</v>
      </c>
      <c r="M26" s="14">
        <f t="shared" si="5"/>
        <v>1333000</v>
      </c>
      <c r="O26" s="14">
        <f t="shared" si="6"/>
        <v>1333000</v>
      </c>
    </row>
    <row r="27" spans="1:15" ht="15">
      <c r="A27" s="8"/>
      <c r="B27" s="8" t="s">
        <v>29</v>
      </c>
      <c r="C27" s="26" t="s">
        <v>33</v>
      </c>
      <c r="D27" s="13">
        <f>ROUND('[1]Calculation of Needs'!D39,-3)</f>
        <v>0</v>
      </c>
      <c r="E27" s="13">
        <f>ROUND('[1]Calculation of Needs'!E39,-3)</f>
        <v>0</v>
      </c>
      <c r="F27" s="13">
        <f>ROUND('[1]Calculation of Needs'!F39,-3)</f>
        <v>0</v>
      </c>
      <c r="G27" s="13">
        <f>ROUND('[1]Calculation of Needs'!G39,-3)</f>
        <v>0</v>
      </c>
      <c r="H27" s="13">
        <f>ROUND('[1]Calculation of Needs'!H39,-3)</f>
        <v>0</v>
      </c>
      <c r="I27" s="13">
        <f>ROUND('[1]Calculation of Needs'!I39,-3)</f>
        <v>64000</v>
      </c>
      <c r="J27" s="13">
        <f>ROUND('[1]Calculation of Needs'!J39,-3)</f>
        <v>65000</v>
      </c>
      <c r="K27" s="14">
        <f>ROUND('[1]Calculation of Needs'!K39,-3)</f>
        <v>67000</v>
      </c>
      <c r="M27" s="14">
        <f t="shared" si="5"/>
        <v>196000</v>
      </c>
      <c r="O27" s="14">
        <f t="shared" si="6"/>
        <v>196000</v>
      </c>
    </row>
    <row r="28" spans="1:15" ht="15">
      <c r="A28" s="8"/>
      <c r="B28" s="8" t="s">
        <v>29</v>
      </c>
      <c r="C28" s="26" t="s">
        <v>34</v>
      </c>
      <c r="D28" s="13">
        <f>ROUND('[1]Calculation of Needs'!D43,-3)</f>
        <v>0</v>
      </c>
      <c r="E28" s="13">
        <f>ROUND('[1]Calculation of Needs'!E43,-3)</f>
        <v>0</v>
      </c>
      <c r="F28" s="13">
        <f>ROUND('[1]Calculation of Needs'!F43,-3)</f>
        <v>0</v>
      </c>
      <c r="G28" s="13">
        <f>ROUND('[1]Calculation of Needs'!G43,-3)</f>
        <v>0</v>
      </c>
      <c r="H28" s="13">
        <f>ROUND('[1]Calculation of Needs'!H43,-3)</f>
        <v>0</v>
      </c>
      <c r="I28" s="13">
        <f>ROUND('[1]Calculation of Needs'!I43,-3)</f>
        <v>177000</v>
      </c>
      <c r="J28" s="13">
        <f>ROUND('[1]Calculation of Needs'!J43,-3)</f>
        <v>182000</v>
      </c>
      <c r="K28" s="14">
        <f>ROUND('[1]Calculation of Needs'!K43,-3)</f>
        <v>188000</v>
      </c>
      <c r="M28" s="14">
        <f t="shared" si="5"/>
        <v>547000</v>
      </c>
      <c r="O28" s="14">
        <f t="shared" si="6"/>
        <v>547000</v>
      </c>
    </row>
    <row r="29" spans="1:15" ht="15">
      <c r="A29" s="8"/>
      <c r="B29" s="8" t="s">
        <v>29</v>
      </c>
      <c r="C29" s="26" t="s">
        <v>35</v>
      </c>
      <c r="D29" s="13">
        <f>ROUND('[1]Calculation of Needs'!D47,-3)</f>
        <v>0</v>
      </c>
      <c r="E29" s="13">
        <f>ROUND('[1]Calculation of Needs'!E47,-3)</f>
        <v>0</v>
      </c>
      <c r="F29" s="13">
        <f>ROUND('[1]Calculation of Needs'!F47,-3)</f>
        <v>0</v>
      </c>
      <c r="G29" s="13">
        <f>ROUND('[1]Calculation of Needs'!G47,-3)</f>
        <v>0</v>
      </c>
      <c r="H29" s="13">
        <f>ROUND('[1]Calculation of Needs'!H47,-3)</f>
        <v>0</v>
      </c>
      <c r="I29" s="13">
        <f>ROUND('[1]Calculation of Needs'!I47,-3)</f>
        <v>183000</v>
      </c>
      <c r="J29" s="13">
        <f>ROUND('[1]Calculation of Needs'!J47,-3)</f>
        <v>188000</v>
      </c>
      <c r="K29" s="14">
        <f>ROUND('[1]Calculation of Needs'!K47,-3)</f>
        <v>194000</v>
      </c>
      <c r="M29" s="14">
        <f t="shared" si="5"/>
        <v>565000</v>
      </c>
      <c r="O29" s="14">
        <f t="shared" si="6"/>
        <v>565000</v>
      </c>
    </row>
    <row r="30" spans="1:15" ht="15">
      <c r="A30" s="8"/>
      <c r="B30" s="8" t="s">
        <v>26</v>
      </c>
      <c r="C30" s="26" t="s">
        <v>36</v>
      </c>
      <c r="D30" s="13">
        <f>ROUND('[1]Calculation of Needs'!D51,-3)</f>
        <v>0</v>
      </c>
      <c r="E30" s="13">
        <f>ROUND('[1]Calculation of Needs'!E51,-3)</f>
        <v>0</v>
      </c>
      <c r="F30" s="13">
        <f>ROUND('[1]Calculation of Needs'!F51,-3)</f>
        <v>0</v>
      </c>
      <c r="G30" s="13">
        <f>ROUND('[1]Calculation of Needs'!G51,-3)</f>
        <v>0</v>
      </c>
      <c r="H30" s="13">
        <f>ROUND('[1]Calculation of Needs'!H51,-3)</f>
        <v>12000</v>
      </c>
      <c r="I30" s="13">
        <f>ROUND('[1]Calculation of Needs'!I51,-3)</f>
        <v>424000</v>
      </c>
      <c r="J30" s="13">
        <f>ROUND('[1]Calculation of Needs'!J51,-3)</f>
        <v>437000</v>
      </c>
      <c r="K30" s="14">
        <f>ROUND('[1]Calculation of Needs'!K51,-3)</f>
        <v>450000</v>
      </c>
      <c r="M30" s="14">
        <f t="shared" si="5"/>
        <v>1323000</v>
      </c>
      <c r="O30" s="14">
        <f t="shared" si="6"/>
        <v>1323000</v>
      </c>
    </row>
    <row r="31" spans="1:15" ht="15">
      <c r="A31" s="8"/>
      <c r="B31" s="8" t="s">
        <v>37</v>
      </c>
      <c r="C31" s="26" t="s">
        <v>38</v>
      </c>
      <c r="D31" s="13">
        <f aca="true" t="shared" si="7" ref="D31:K31">ROUND(SUM(D21:D30)*0.05,-3)</f>
        <v>76000</v>
      </c>
      <c r="E31" s="13">
        <f t="shared" si="7"/>
        <v>111000</v>
      </c>
      <c r="F31" s="13">
        <f t="shared" si="7"/>
        <v>130000</v>
      </c>
      <c r="G31" s="13">
        <f t="shared" si="7"/>
        <v>173000</v>
      </c>
      <c r="H31" s="13">
        <f t="shared" si="7"/>
        <v>203000</v>
      </c>
      <c r="I31" s="13">
        <f t="shared" si="7"/>
        <v>696000</v>
      </c>
      <c r="J31" s="13">
        <f t="shared" si="7"/>
        <v>787000</v>
      </c>
      <c r="K31" s="14">
        <f t="shared" si="7"/>
        <v>738000</v>
      </c>
      <c r="M31" s="14">
        <f t="shared" si="5"/>
        <v>2914000</v>
      </c>
      <c r="O31" s="14">
        <f t="shared" si="6"/>
        <v>2914000</v>
      </c>
    </row>
    <row r="32" spans="1:15" ht="15">
      <c r="A32" s="8" t="s">
        <v>39</v>
      </c>
      <c r="B32" s="8"/>
      <c r="C32" s="19" t="s">
        <v>40</v>
      </c>
      <c r="D32" s="10">
        <f aca="true" t="shared" si="8" ref="D32:K32">SUM(D21:D31)</f>
        <v>1602000</v>
      </c>
      <c r="E32" s="10">
        <f t="shared" si="8"/>
        <v>2321000</v>
      </c>
      <c r="F32" s="10">
        <f t="shared" si="8"/>
        <v>2735000</v>
      </c>
      <c r="G32" s="10">
        <f t="shared" si="8"/>
        <v>3637000</v>
      </c>
      <c r="H32" s="10">
        <f t="shared" si="8"/>
        <v>4257000</v>
      </c>
      <c r="I32" s="10">
        <f t="shared" si="8"/>
        <v>14607000</v>
      </c>
      <c r="J32" s="11">
        <f t="shared" si="8"/>
        <v>16535000</v>
      </c>
      <c r="K32" s="11">
        <f t="shared" si="8"/>
        <v>15496000</v>
      </c>
      <c r="M32" s="11">
        <f t="shared" si="5"/>
        <v>61190000</v>
      </c>
      <c r="O32" s="11">
        <f t="shared" si="6"/>
        <v>61190000</v>
      </c>
    </row>
    <row r="33" spans="1:15" ht="15">
      <c r="A33" s="8"/>
      <c r="B33" s="8"/>
      <c r="C33" s="22"/>
      <c r="D33" s="27"/>
      <c r="E33" s="27"/>
      <c r="F33" s="27"/>
      <c r="G33" s="27"/>
      <c r="H33" s="27"/>
      <c r="I33" s="27"/>
      <c r="J33" s="28"/>
      <c r="K33" s="28"/>
      <c r="M33" s="28"/>
      <c r="O33" s="28"/>
    </row>
    <row r="34" spans="1:15" ht="15">
      <c r="A34" s="8" t="s">
        <v>41</v>
      </c>
      <c r="B34" s="8"/>
      <c r="C34" s="29" t="s">
        <v>42</v>
      </c>
      <c r="D34" s="30">
        <f aca="true" t="shared" si="9" ref="D34:K34">+D18-D32</f>
        <v>21748000</v>
      </c>
      <c r="E34" s="30">
        <f t="shared" si="9"/>
        <v>24316500</v>
      </c>
      <c r="F34" s="30">
        <f t="shared" si="9"/>
        <v>28320625</v>
      </c>
      <c r="G34" s="30">
        <f t="shared" si="9"/>
        <v>30831293.75</v>
      </c>
      <c r="H34" s="30">
        <f t="shared" si="9"/>
        <v>33918342.5625</v>
      </c>
      <c r="I34" s="30">
        <f t="shared" si="9"/>
        <v>27469602.839374997</v>
      </c>
      <c r="J34" s="31">
        <f t="shared" si="9"/>
        <v>25836900.924556248</v>
      </c>
      <c r="K34" s="31">
        <f t="shared" si="9"/>
        <v>27265057.952292934</v>
      </c>
      <c r="M34" s="31">
        <f>SUM(D34:L34)</f>
        <v>219706323.0287242</v>
      </c>
      <c r="O34" s="31">
        <f>+O6-O16-O32</f>
        <v>239714079.1327954</v>
      </c>
    </row>
    <row r="35" spans="1:15" ht="15">
      <c r="A35" s="8"/>
      <c r="B35" s="8"/>
      <c r="C35" s="32"/>
      <c r="D35" s="33"/>
      <c r="E35" s="33"/>
      <c r="F35" s="33"/>
      <c r="G35" s="33"/>
      <c r="H35" s="33"/>
      <c r="I35" s="33"/>
      <c r="J35" s="34"/>
      <c r="K35" s="34"/>
      <c r="M35" s="34"/>
      <c r="O35" s="34"/>
    </row>
    <row r="36" spans="1:15" ht="15">
      <c r="A36" s="8" t="s">
        <v>43</v>
      </c>
      <c r="B36" s="8"/>
      <c r="C36" s="5" t="s">
        <v>44</v>
      </c>
      <c r="D36" s="35"/>
      <c r="E36" s="35">
        <f aca="true" t="shared" si="10" ref="E36:K36">+D37-D72</f>
        <v>5473000</v>
      </c>
      <c r="F36" s="35">
        <f t="shared" si="10"/>
        <v>14470000</v>
      </c>
      <c r="G36" s="35">
        <f t="shared" si="10"/>
        <v>18910790</v>
      </c>
      <c r="H36" s="35">
        <f t="shared" si="10"/>
        <v>5463603.700000003</v>
      </c>
      <c r="I36" s="35">
        <f t="shared" si="10"/>
        <v>7146861.811000004</v>
      </c>
      <c r="J36" s="36">
        <f t="shared" si="10"/>
        <v>3488077.66533</v>
      </c>
      <c r="K36" s="36">
        <f t="shared" si="10"/>
        <v>1176089.9952898957</v>
      </c>
      <c r="M36" s="36"/>
      <c r="O36" s="36"/>
    </row>
    <row r="37" spans="1:15" ht="15">
      <c r="A37" s="8" t="s">
        <v>45</v>
      </c>
      <c r="B37" s="8"/>
      <c r="C37" s="23" t="s">
        <v>46</v>
      </c>
      <c r="D37" s="37">
        <f aca="true" t="shared" si="11" ref="D37:K37">+D36+D34</f>
        <v>21748000</v>
      </c>
      <c r="E37" s="37">
        <f t="shared" si="11"/>
        <v>29789500</v>
      </c>
      <c r="F37" s="37">
        <f t="shared" si="11"/>
        <v>42790625</v>
      </c>
      <c r="G37" s="37">
        <f t="shared" si="11"/>
        <v>49742083.75</v>
      </c>
      <c r="H37" s="37">
        <f t="shared" si="11"/>
        <v>39381946.2625</v>
      </c>
      <c r="I37" s="37">
        <f t="shared" si="11"/>
        <v>34616464.650375</v>
      </c>
      <c r="J37" s="38">
        <f t="shared" si="11"/>
        <v>29324978.589886248</v>
      </c>
      <c r="K37" s="38">
        <f t="shared" si="11"/>
        <v>28441147.94758283</v>
      </c>
      <c r="M37" s="38">
        <f>+M6-M16-M32</f>
        <v>219706323.0287242</v>
      </c>
      <c r="O37" s="38">
        <f>+O6-O16-O32</f>
        <v>239714079.1327954</v>
      </c>
    </row>
    <row r="38" spans="1:16" ht="29">
      <c r="A38" s="8"/>
      <c r="B38" s="8"/>
      <c r="C38" s="22"/>
      <c r="D38" s="13"/>
      <c r="E38" s="13"/>
      <c r="F38" s="13"/>
      <c r="G38" s="13"/>
      <c r="H38" s="13"/>
      <c r="I38" s="13"/>
      <c r="J38" s="14"/>
      <c r="K38" s="14"/>
      <c r="M38" s="14"/>
      <c r="N38" s="39" t="s">
        <v>47</v>
      </c>
      <c r="O38" s="40"/>
      <c r="P38"/>
    </row>
    <row r="39" spans="2:16" ht="15">
      <c r="B39" s="41" t="s">
        <v>37</v>
      </c>
      <c r="C39" s="26" t="s">
        <v>48</v>
      </c>
      <c r="D39" s="13">
        <v>2500000</v>
      </c>
      <c r="E39" s="13">
        <v>2500000</v>
      </c>
      <c r="F39" s="13">
        <v>2500000</v>
      </c>
      <c r="G39" s="13">
        <v>2500000</v>
      </c>
      <c r="H39" s="13">
        <v>2500000</v>
      </c>
      <c r="I39" s="13">
        <v>2500000</v>
      </c>
      <c r="J39" s="13">
        <v>2500000</v>
      </c>
      <c r="K39" s="14">
        <v>2500000</v>
      </c>
      <c r="M39" s="14">
        <f>SUM(D39:K39)</f>
        <v>20000000</v>
      </c>
      <c r="N39" s="14">
        <v>0</v>
      </c>
      <c r="O39" s="14">
        <v>20000000</v>
      </c>
      <c r="P39"/>
    </row>
    <row r="40" spans="2:16" ht="15">
      <c r="B40" s="41"/>
      <c r="C40" s="42"/>
      <c r="D40" s="43"/>
      <c r="E40" s="43"/>
      <c r="F40" s="43"/>
      <c r="G40" s="43"/>
      <c r="H40" s="43"/>
      <c r="I40" s="43"/>
      <c r="J40" s="44"/>
      <c r="K40" s="44"/>
      <c r="M40" s="44"/>
      <c r="N40" s="44"/>
      <c r="O40" s="44"/>
      <c r="P40"/>
    </row>
    <row r="41" spans="2:16" ht="15">
      <c r="B41" s="41"/>
      <c r="C41" s="45"/>
      <c r="D41" s="43"/>
      <c r="E41" s="43"/>
      <c r="F41" s="43"/>
      <c r="G41" s="43"/>
      <c r="H41" s="43"/>
      <c r="I41" s="43"/>
      <c r="J41" s="44"/>
      <c r="K41" s="44"/>
      <c r="M41" s="44"/>
      <c r="N41" s="44"/>
      <c r="O41" s="44"/>
      <c r="P41"/>
    </row>
    <row r="42" spans="2:18" ht="15">
      <c r="B42" s="41" t="s">
        <v>24</v>
      </c>
      <c r="C42" s="22" t="s">
        <v>49</v>
      </c>
      <c r="D42" s="33">
        <v>3000000</v>
      </c>
      <c r="E42" s="33">
        <f>+D42*1.03</f>
        <v>3090000</v>
      </c>
      <c r="F42" s="33">
        <f aca="true" t="shared" si="12" ref="F42:K43">+E42*1.03</f>
        <v>3182700</v>
      </c>
      <c r="G42" s="33">
        <f t="shared" si="12"/>
        <v>3278181</v>
      </c>
      <c r="H42" s="33">
        <f t="shared" si="12"/>
        <v>3376526.43</v>
      </c>
      <c r="I42" s="33">
        <f t="shared" si="12"/>
        <v>3477822.2229000004</v>
      </c>
      <c r="J42" s="34">
        <f t="shared" si="12"/>
        <v>3582156.8895870005</v>
      </c>
      <c r="K42" s="34">
        <f t="shared" si="12"/>
        <v>3689621.5962746106</v>
      </c>
      <c r="M42" s="14">
        <f aca="true" t="shared" si="13" ref="M42:M43">SUM(D42:K42)</f>
        <v>26677008.13876161</v>
      </c>
      <c r="N42" s="14">
        <f aca="true" t="shared" si="14" ref="N42:N49">ROUND(M42*$Q$46,0)</f>
        <v>2740365</v>
      </c>
      <c r="O42" s="14">
        <f>+N42+M42</f>
        <v>29417373.13876161</v>
      </c>
      <c r="R42" s="46"/>
    </row>
    <row r="43" spans="2:18" ht="15">
      <c r="B43" s="41" t="s">
        <v>29</v>
      </c>
      <c r="C43" s="22" t="s">
        <v>50</v>
      </c>
      <c r="D43" s="33">
        <v>1000000</v>
      </c>
      <c r="E43" s="33">
        <v>2000000</v>
      </c>
      <c r="F43" s="33">
        <f t="shared" si="12"/>
        <v>2060000</v>
      </c>
      <c r="G43" s="33">
        <f t="shared" si="12"/>
        <v>2121800</v>
      </c>
      <c r="H43" s="33">
        <f t="shared" si="12"/>
        <v>2185454</v>
      </c>
      <c r="I43" s="33">
        <f t="shared" si="12"/>
        <v>2251017.62</v>
      </c>
      <c r="J43" s="34">
        <f t="shared" si="12"/>
        <v>2318548.1486</v>
      </c>
      <c r="K43" s="34">
        <f t="shared" si="12"/>
        <v>2388104.593058</v>
      </c>
      <c r="M43" s="14">
        <f t="shared" si="13"/>
        <v>16324924.361658001</v>
      </c>
      <c r="N43" s="14">
        <f t="shared" si="14"/>
        <v>1676959</v>
      </c>
      <c r="O43" s="14">
        <f aca="true" t="shared" si="15" ref="O43:O49">+N43+M43</f>
        <v>18001883.361658</v>
      </c>
      <c r="R43" s="46"/>
    </row>
    <row r="44" spans="2:18" ht="15">
      <c r="B44" s="41"/>
      <c r="C44" s="22"/>
      <c r="D44" s="33"/>
      <c r="E44" s="33"/>
      <c r="F44" s="33"/>
      <c r="G44" s="33"/>
      <c r="H44" s="33"/>
      <c r="I44" s="33"/>
      <c r="J44" s="34"/>
      <c r="K44" s="34"/>
      <c r="M44" s="14">
        <f aca="true" t="shared" si="16" ref="M44:M48">SUM(D44:K44)</f>
        <v>0</v>
      </c>
      <c r="N44" s="14">
        <f t="shared" si="14"/>
        <v>0</v>
      </c>
      <c r="O44" s="14">
        <f t="shared" si="15"/>
        <v>0</v>
      </c>
      <c r="Q44" s="15">
        <f>M8</f>
        <v>20007756.104071207</v>
      </c>
      <c r="R44" s="46"/>
    </row>
    <row r="45" spans="2:18" ht="15">
      <c r="B45" s="41" t="s">
        <v>29</v>
      </c>
      <c r="C45" s="22" t="s">
        <v>51</v>
      </c>
      <c r="D45" s="33">
        <v>500000</v>
      </c>
      <c r="E45" s="33">
        <v>500000</v>
      </c>
      <c r="F45" s="33">
        <v>500000</v>
      </c>
      <c r="G45" s="33">
        <v>3000000</v>
      </c>
      <c r="H45" s="33">
        <f>+G45*1.03</f>
        <v>3090000</v>
      </c>
      <c r="I45" s="33">
        <f>+H45*1.03</f>
        <v>3182700</v>
      </c>
      <c r="J45" s="34">
        <f>+I45*1.03</f>
        <v>3278181</v>
      </c>
      <c r="K45" s="34">
        <f>+J45*1.03</f>
        <v>3376526.43</v>
      </c>
      <c r="M45" s="14">
        <f t="shared" si="16"/>
        <v>17427407.43</v>
      </c>
      <c r="N45" s="14">
        <f t="shared" si="14"/>
        <v>1790210</v>
      </c>
      <c r="O45" s="14">
        <f t="shared" si="15"/>
        <v>19217617.43</v>
      </c>
      <c r="Q45" s="15">
        <f>SUM(M42:M71)</f>
        <v>194772280.3335756</v>
      </c>
      <c r="R45" s="46"/>
    </row>
    <row r="46" spans="2:18" ht="15">
      <c r="B46" s="41" t="s">
        <v>29</v>
      </c>
      <c r="C46" s="22" t="s">
        <v>52</v>
      </c>
      <c r="D46" s="33"/>
      <c r="E46" s="33"/>
      <c r="F46" s="33">
        <v>1000000</v>
      </c>
      <c r="G46" s="33">
        <v>5000000</v>
      </c>
      <c r="H46" s="33"/>
      <c r="I46" s="33"/>
      <c r="J46" s="34"/>
      <c r="K46" s="34"/>
      <c r="M46" s="14">
        <f t="shared" si="16"/>
        <v>6000000</v>
      </c>
      <c r="N46" s="14">
        <f t="shared" si="14"/>
        <v>616343</v>
      </c>
      <c r="O46" s="14">
        <f t="shared" si="15"/>
        <v>6616343</v>
      </c>
      <c r="Q46">
        <f>+Q44/Q45</f>
        <v>0.10272383765187244</v>
      </c>
      <c r="R46" s="46"/>
    </row>
    <row r="47" spans="2:18" ht="15">
      <c r="B47" s="41" t="s">
        <v>29</v>
      </c>
      <c r="C47" s="22" t="s">
        <v>53</v>
      </c>
      <c r="D47" s="33"/>
      <c r="E47" s="33"/>
      <c r="F47" s="33"/>
      <c r="G47" s="33"/>
      <c r="H47" s="33"/>
      <c r="I47" s="33">
        <v>500000</v>
      </c>
      <c r="J47" s="34">
        <v>1000000</v>
      </c>
      <c r="K47" s="34"/>
      <c r="M47" s="14">
        <f t="shared" si="16"/>
        <v>1500000</v>
      </c>
      <c r="N47" s="14">
        <f t="shared" si="14"/>
        <v>154086</v>
      </c>
      <c r="O47" s="14">
        <f t="shared" si="15"/>
        <v>1654086</v>
      </c>
      <c r="R47" s="46"/>
    </row>
    <row r="48" spans="2:17" ht="15">
      <c r="B48" s="41" t="s">
        <v>29</v>
      </c>
      <c r="C48" s="47" t="s">
        <v>54</v>
      </c>
      <c r="D48" s="33"/>
      <c r="E48" s="33"/>
      <c r="F48" s="33"/>
      <c r="G48" s="33"/>
      <c r="H48" s="33"/>
      <c r="I48" s="33">
        <v>1000000</v>
      </c>
      <c r="J48" s="34">
        <v>4000000</v>
      </c>
      <c r="K48" s="34"/>
      <c r="L48" s="13"/>
      <c r="M48" s="14">
        <f t="shared" si="16"/>
        <v>5000000</v>
      </c>
      <c r="N48" s="14">
        <f t="shared" si="14"/>
        <v>513619</v>
      </c>
      <c r="O48" s="14">
        <f t="shared" si="15"/>
        <v>5513619</v>
      </c>
      <c r="P48" s="48"/>
      <c r="Q48" s="48"/>
    </row>
    <row r="49" spans="2:18" ht="15">
      <c r="B49" s="41" t="s">
        <v>29</v>
      </c>
      <c r="C49" s="47" t="s">
        <v>55</v>
      </c>
      <c r="D49" s="33"/>
      <c r="E49" s="33"/>
      <c r="F49" s="33">
        <v>2000000</v>
      </c>
      <c r="G49" s="33">
        <v>5500000</v>
      </c>
      <c r="H49" s="33"/>
      <c r="I49" s="33"/>
      <c r="J49" s="34"/>
      <c r="K49" s="34"/>
      <c r="M49" s="14">
        <f aca="true" t="shared" si="17" ref="M49">SUM(D49:K49)</f>
        <v>7500000</v>
      </c>
      <c r="N49" s="14">
        <f t="shared" si="14"/>
        <v>770429</v>
      </c>
      <c r="O49" s="14">
        <f t="shared" si="15"/>
        <v>8270429</v>
      </c>
      <c r="R49" s="46"/>
    </row>
    <row r="50" spans="2:18" ht="15">
      <c r="B50" s="41"/>
      <c r="C50" s="22"/>
      <c r="D50" s="33"/>
      <c r="E50" s="33"/>
      <c r="F50" s="33"/>
      <c r="G50" s="33"/>
      <c r="H50" s="33"/>
      <c r="I50" s="33"/>
      <c r="J50" s="34"/>
      <c r="K50" s="34"/>
      <c r="M50" s="34"/>
      <c r="N50" s="34"/>
      <c r="O50" s="34"/>
      <c r="R50" s="46"/>
    </row>
    <row r="51" spans="2:18" ht="15">
      <c r="B51" s="41" t="s">
        <v>29</v>
      </c>
      <c r="C51" s="22" t="s">
        <v>56</v>
      </c>
      <c r="D51" s="33">
        <v>1000000</v>
      </c>
      <c r="E51" s="33"/>
      <c r="F51" s="33"/>
      <c r="G51" s="33"/>
      <c r="H51" s="33"/>
      <c r="I51" s="33"/>
      <c r="J51" s="34"/>
      <c r="K51" s="34"/>
      <c r="M51" s="14">
        <f aca="true" t="shared" si="18" ref="M51:M53">SUM(D51:K51)</f>
        <v>1000000</v>
      </c>
      <c r="N51" s="14">
        <f aca="true" t="shared" si="19" ref="N51:N71">ROUND(M51*$Q$46,0)</f>
        <v>102724</v>
      </c>
      <c r="O51" s="14">
        <f aca="true" t="shared" si="20" ref="O51:O53">+N51+M51</f>
        <v>1102724</v>
      </c>
      <c r="R51" s="46"/>
    </row>
    <row r="52" spans="2:18" ht="15">
      <c r="B52" s="41" t="s">
        <v>24</v>
      </c>
      <c r="C52" s="22" t="s">
        <v>57</v>
      </c>
      <c r="D52" s="33">
        <v>1000000</v>
      </c>
      <c r="E52" s="33">
        <v>3000000</v>
      </c>
      <c r="F52" s="33">
        <v>3500000</v>
      </c>
      <c r="G52" s="33">
        <f aca="true" t="shared" si="21" ref="G52:K53">+F52*1.03</f>
        <v>3605000</v>
      </c>
      <c r="H52" s="33">
        <f t="shared" si="21"/>
        <v>3713150</v>
      </c>
      <c r="I52" s="33">
        <f t="shared" si="21"/>
        <v>3824544.5</v>
      </c>
      <c r="J52" s="34">
        <f t="shared" si="21"/>
        <v>3939280.835</v>
      </c>
      <c r="K52" s="34">
        <f t="shared" si="21"/>
        <v>4057459.26005</v>
      </c>
      <c r="M52" s="14">
        <f t="shared" si="18"/>
        <v>26639434.59505</v>
      </c>
      <c r="N52" s="14">
        <f t="shared" si="19"/>
        <v>2736505</v>
      </c>
      <c r="O52" s="14">
        <f t="shared" si="20"/>
        <v>29375939.59505</v>
      </c>
      <c r="R52" s="46"/>
    </row>
    <row r="53" spans="2:18" ht="15">
      <c r="B53" s="41" t="s">
        <v>31</v>
      </c>
      <c r="C53" s="22" t="s">
        <v>58</v>
      </c>
      <c r="D53" s="33"/>
      <c r="E53" s="33"/>
      <c r="F53" s="33">
        <v>1500000</v>
      </c>
      <c r="G53" s="33">
        <f>+F53*1.03</f>
        <v>1545000</v>
      </c>
      <c r="H53" s="33">
        <f t="shared" si="21"/>
        <v>1591350</v>
      </c>
      <c r="I53" s="33">
        <f t="shared" si="21"/>
        <v>1639090.5</v>
      </c>
      <c r="J53" s="34">
        <f t="shared" si="21"/>
        <v>1688263.215</v>
      </c>
      <c r="K53" s="34">
        <f t="shared" si="21"/>
        <v>1738911.1114500002</v>
      </c>
      <c r="M53" s="14">
        <f t="shared" si="18"/>
        <v>9702614.82645</v>
      </c>
      <c r="N53" s="14">
        <f t="shared" si="19"/>
        <v>996690</v>
      </c>
      <c r="O53" s="14">
        <f t="shared" si="20"/>
        <v>10699304.82645</v>
      </c>
      <c r="R53" s="46"/>
    </row>
    <row r="54" spans="2:18" ht="15">
      <c r="B54" s="41"/>
      <c r="C54" s="22"/>
      <c r="D54" s="33"/>
      <c r="E54" s="33"/>
      <c r="F54" s="33"/>
      <c r="G54" s="33"/>
      <c r="H54" s="33"/>
      <c r="I54" s="33"/>
      <c r="J54" s="34"/>
      <c r="K54" s="34"/>
      <c r="M54" s="14"/>
      <c r="N54" s="14">
        <f t="shared" si="19"/>
        <v>0</v>
      </c>
      <c r="O54" s="14"/>
      <c r="R54" s="46"/>
    </row>
    <row r="55" spans="2:18" ht="15">
      <c r="B55" s="41"/>
      <c r="C55" s="22"/>
      <c r="D55" s="33"/>
      <c r="E55" s="33"/>
      <c r="F55" s="33"/>
      <c r="G55" s="33"/>
      <c r="H55" s="33"/>
      <c r="I55" s="33"/>
      <c r="J55" s="34"/>
      <c r="K55" s="34"/>
      <c r="M55" s="14">
        <f aca="true" t="shared" si="22" ref="M55:M58">SUM(D55:K55)</f>
        <v>0</v>
      </c>
      <c r="N55" s="14">
        <f t="shared" si="19"/>
        <v>0</v>
      </c>
      <c r="O55" s="14">
        <f aca="true" t="shared" si="23" ref="O55:O57">+N55+M55</f>
        <v>0</v>
      </c>
      <c r="R55" s="46"/>
    </row>
    <row r="56" spans="2:18" ht="15">
      <c r="B56" s="41"/>
      <c r="C56" s="22"/>
      <c r="D56" s="33"/>
      <c r="E56" s="33"/>
      <c r="F56" s="33"/>
      <c r="G56" s="33"/>
      <c r="H56" s="33"/>
      <c r="I56" s="33"/>
      <c r="J56" s="34"/>
      <c r="K56" s="34"/>
      <c r="M56" s="14">
        <f t="shared" si="22"/>
        <v>0</v>
      </c>
      <c r="N56" s="14">
        <f t="shared" si="19"/>
        <v>0</v>
      </c>
      <c r="O56" s="14">
        <f t="shared" si="23"/>
        <v>0</v>
      </c>
      <c r="R56" s="46"/>
    </row>
    <row r="57" spans="2:18" ht="15">
      <c r="B57" s="41"/>
      <c r="C57" s="22"/>
      <c r="D57" s="33"/>
      <c r="E57" s="33"/>
      <c r="F57" s="33"/>
      <c r="G57" s="33"/>
      <c r="H57" s="33"/>
      <c r="I57" s="33"/>
      <c r="J57" s="33"/>
      <c r="K57" s="34"/>
      <c r="M57" s="14">
        <f t="shared" si="22"/>
        <v>0</v>
      </c>
      <c r="N57" s="14">
        <f t="shared" si="19"/>
        <v>0</v>
      </c>
      <c r="O57" s="14">
        <f t="shared" si="23"/>
        <v>0</v>
      </c>
      <c r="R57" s="46"/>
    </row>
    <row r="58" spans="2:18" ht="15">
      <c r="B58" s="41"/>
      <c r="C58" s="22"/>
      <c r="D58" s="33"/>
      <c r="E58" s="33"/>
      <c r="F58" s="33"/>
      <c r="G58" s="33"/>
      <c r="H58" s="33"/>
      <c r="I58" s="33"/>
      <c r="J58" s="34"/>
      <c r="K58" s="34"/>
      <c r="M58" s="14">
        <f t="shared" si="22"/>
        <v>0</v>
      </c>
      <c r="N58" s="34">
        <f t="shared" si="19"/>
        <v>0</v>
      </c>
      <c r="O58" s="34"/>
      <c r="R58" s="46"/>
    </row>
    <row r="59" spans="2:18" ht="15">
      <c r="B59" s="41" t="s">
        <v>26</v>
      </c>
      <c r="C59" s="22" t="s">
        <v>59</v>
      </c>
      <c r="D59" s="33">
        <v>500000</v>
      </c>
      <c r="E59" s="33">
        <v>500000</v>
      </c>
      <c r="F59" s="33">
        <v>4000000</v>
      </c>
      <c r="G59" s="33">
        <f>+F59*1.03</f>
        <v>4120000</v>
      </c>
      <c r="H59" s="33">
        <f aca="true" t="shared" si="24" ref="H59:K59">+G59*1.03</f>
        <v>4243600</v>
      </c>
      <c r="I59" s="33">
        <f t="shared" si="24"/>
        <v>4370908</v>
      </c>
      <c r="J59" s="34">
        <f t="shared" si="24"/>
        <v>4502035.24</v>
      </c>
      <c r="K59" s="34">
        <f t="shared" si="24"/>
        <v>4637096.2972</v>
      </c>
      <c r="M59" s="14">
        <f aca="true" t="shared" si="25" ref="M59:M61">SUM(D59:K59)</f>
        <v>26873639.537200004</v>
      </c>
      <c r="N59" s="14">
        <f t="shared" si="19"/>
        <v>2760563</v>
      </c>
      <c r="O59" s="14">
        <f aca="true" t="shared" si="26" ref="O59:O62">+N59+M59</f>
        <v>29634202.537200004</v>
      </c>
      <c r="R59" s="46"/>
    </row>
    <row r="60" spans="2:18" ht="15">
      <c r="B60" s="41" t="s">
        <v>26</v>
      </c>
      <c r="C60" s="22" t="s">
        <v>60</v>
      </c>
      <c r="D60" s="33"/>
      <c r="E60" s="33"/>
      <c r="F60" s="33">
        <v>1000000</v>
      </c>
      <c r="G60" s="33"/>
      <c r="H60" s="33">
        <v>2000000</v>
      </c>
      <c r="I60" s="33"/>
      <c r="J60" s="34"/>
      <c r="K60" s="34"/>
      <c r="M60" s="14">
        <f t="shared" si="25"/>
        <v>3000000</v>
      </c>
      <c r="N60" s="14">
        <f t="shared" si="19"/>
        <v>308172</v>
      </c>
      <c r="O60" s="14">
        <f t="shared" si="26"/>
        <v>3308172</v>
      </c>
      <c r="R60" s="46"/>
    </row>
    <row r="61" spans="2:18" ht="15">
      <c r="B61" s="41" t="s">
        <v>26</v>
      </c>
      <c r="C61" s="22" t="s">
        <v>61</v>
      </c>
      <c r="D61" s="33"/>
      <c r="E61" s="33">
        <v>1000000</v>
      </c>
      <c r="F61" s="33"/>
      <c r="G61" s="33">
        <v>2000000</v>
      </c>
      <c r="H61" s="33"/>
      <c r="I61" s="33"/>
      <c r="J61" s="34"/>
      <c r="K61" s="34"/>
      <c r="M61" s="14">
        <f t="shared" si="25"/>
        <v>3000000</v>
      </c>
      <c r="N61" s="14">
        <f t="shared" si="19"/>
        <v>308172</v>
      </c>
      <c r="O61" s="14">
        <f t="shared" si="26"/>
        <v>3308172</v>
      </c>
      <c r="R61" s="46"/>
    </row>
    <row r="62" spans="2:18" ht="15">
      <c r="B62" s="41" t="s">
        <v>26</v>
      </c>
      <c r="C62" s="47" t="s">
        <v>62</v>
      </c>
      <c r="D62" s="33"/>
      <c r="E62" s="33"/>
      <c r="F62" s="33"/>
      <c r="G62" s="33"/>
      <c r="H62" s="33"/>
      <c r="I62" s="33">
        <v>6900000</v>
      </c>
      <c r="J62" s="34"/>
      <c r="K62" s="34"/>
      <c r="M62" s="14">
        <f aca="true" t="shared" si="27" ref="M62">SUM(D62:K62)</f>
        <v>6900000</v>
      </c>
      <c r="N62" s="14">
        <f t="shared" si="19"/>
        <v>708794</v>
      </c>
      <c r="O62" s="14">
        <f t="shared" si="26"/>
        <v>7608794</v>
      </c>
      <c r="R62" s="46"/>
    </row>
    <row r="63" spans="2:18" ht="15">
      <c r="B63" s="41"/>
      <c r="C63" s="22"/>
      <c r="D63" s="33"/>
      <c r="E63" s="33"/>
      <c r="F63" s="33"/>
      <c r="G63" s="33"/>
      <c r="H63" s="33"/>
      <c r="I63" s="33"/>
      <c r="J63" s="34"/>
      <c r="K63" s="34"/>
      <c r="M63" s="34"/>
      <c r="N63" s="34">
        <f t="shared" si="19"/>
        <v>0</v>
      </c>
      <c r="O63" s="34"/>
      <c r="R63" s="46"/>
    </row>
    <row r="64" spans="2:18" ht="15">
      <c r="B64" s="41" t="s">
        <v>29</v>
      </c>
      <c r="C64" s="22" t="s">
        <v>63</v>
      </c>
      <c r="D64" s="33"/>
      <c r="E64" s="33">
        <v>2000000</v>
      </c>
      <c r="F64" s="33"/>
      <c r="G64" s="33"/>
      <c r="H64" s="33">
        <v>8000000</v>
      </c>
      <c r="I64" s="33"/>
      <c r="J64" s="34"/>
      <c r="K64" s="34"/>
      <c r="M64" s="14">
        <f aca="true" t="shared" si="28" ref="M64:M67">SUM(D64:K64)</f>
        <v>10000000</v>
      </c>
      <c r="N64" s="14">
        <f t="shared" si="19"/>
        <v>1027238</v>
      </c>
      <c r="O64" s="14">
        <f aca="true" t="shared" si="29" ref="O64:O67">+N64+M64</f>
        <v>11027238</v>
      </c>
      <c r="R64" s="46"/>
    </row>
    <row r="65" spans="2:18" ht="15">
      <c r="B65" s="41" t="s">
        <v>29</v>
      </c>
      <c r="C65" s="22" t="s">
        <v>64</v>
      </c>
      <c r="D65" s="33"/>
      <c r="E65" s="33"/>
      <c r="F65" s="33">
        <v>1000000</v>
      </c>
      <c r="G65" s="33">
        <v>5500000</v>
      </c>
      <c r="H65" s="33"/>
      <c r="I65" s="33"/>
      <c r="J65" s="34"/>
      <c r="K65" s="34"/>
      <c r="M65" s="14">
        <f t="shared" si="28"/>
        <v>6500000</v>
      </c>
      <c r="N65" s="14">
        <f t="shared" si="19"/>
        <v>667705</v>
      </c>
      <c r="O65" s="14">
        <f t="shared" si="29"/>
        <v>7167705</v>
      </c>
      <c r="R65" s="46"/>
    </row>
    <row r="66" spans="2:18" ht="15">
      <c r="B66" s="41" t="s">
        <v>29</v>
      </c>
      <c r="C66" s="22" t="s">
        <v>65</v>
      </c>
      <c r="D66" s="33"/>
      <c r="E66" s="33"/>
      <c r="F66" s="33">
        <v>500000</v>
      </c>
      <c r="G66" s="33">
        <v>4000000</v>
      </c>
      <c r="H66" s="33"/>
      <c r="I66" s="33"/>
      <c r="J66" s="34"/>
      <c r="K66" s="34"/>
      <c r="M66" s="14">
        <f t="shared" si="28"/>
        <v>4500000</v>
      </c>
      <c r="N66" s="14">
        <f t="shared" si="19"/>
        <v>462257</v>
      </c>
      <c r="O66" s="14">
        <f t="shared" si="29"/>
        <v>4962257</v>
      </c>
      <c r="R66" s="46"/>
    </row>
    <row r="67" spans="2:18" ht="15">
      <c r="B67" s="41" t="s">
        <v>29</v>
      </c>
      <c r="C67" s="22" t="s">
        <v>66</v>
      </c>
      <c r="D67" s="33">
        <v>6000000</v>
      </c>
      <c r="E67" s="33"/>
      <c r="F67" s="33"/>
      <c r="G67" s="33"/>
      <c r="H67" s="33"/>
      <c r="I67" s="33"/>
      <c r="J67" s="34"/>
      <c r="K67" s="34"/>
      <c r="M67" s="14">
        <f t="shared" si="28"/>
        <v>6000000</v>
      </c>
      <c r="N67" s="14">
        <f t="shared" si="19"/>
        <v>616343</v>
      </c>
      <c r="O67" s="14">
        <f t="shared" si="29"/>
        <v>6616343</v>
      </c>
      <c r="R67" s="46"/>
    </row>
    <row r="68" spans="2:15" ht="15">
      <c r="B68" s="41" t="s">
        <v>29</v>
      </c>
      <c r="C68" s="49" t="s">
        <v>67</v>
      </c>
      <c r="D68" s="43"/>
      <c r="E68" s="43"/>
      <c r="F68" s="43"/>
      <c r="G68" s="43"/>
      <c r="H68" s="43"/>
      <c r="I68" s="43"/>
      <c r="J68" s="44"/>
      <c r="K68" s="44"/>
      <c r="M68" s="14">
        <f>SUM(D68:K68)</f>
        <v>0</v>
      </c>
      <c r="N68" s="14">
        <f t="shared" si="19"/>
        <v>0</v>
      </c>
      <c r="O68" s="14">
        <f>+N68+M68</f>
        <v>0</v>
      </c>
    </row>
    <row r="69" spans="2:15" ht="15">
      <c r="B69" s="41"/>
      <c r="C69" s="42"/>
      <c r="D69" s="43"/>
      <c r="E69" s="43"/>
      <c r="F69" s="43"/>
      <c r="G69" s="43"/>
      <c r="H69" s="43"/>
      <c r="I69" s="43"/>
      <c r="J69" s="44"/>
      <c r="K69" s="44"/>
      <c r="M69" s="14">
        <f aca="true" t="shared" si="30" ref="M69:M70">SUM(D69:K69)</f>
        <v>0</v>
      </c>
      <c r="N69" s="14">
        <f t="shared" si="19"/>
        <v>0</v>
      </c>
      <c r="O69" s="14">
        <f aca="true" t="shared" si="31" ref="O69:O70">+N69+M69</f>
        <v>0</v>
      </c>
    </row>
    <row r="70" spans="2:15" ht="15">
      <c r="B70" s="41"/>
      <c r="C70" s="42"/>
      <c r="D70" s="43"/>
      <c r="E70" s="43"/>
      <c r="F70" s="43"/>
      <c r="G70" s="43"/>
      <c r="H70" s="43"/>
      <c r="I70" s="43"/>
      <c r="J70" s="44"/>
      <c r="K70" s="44"/>
      <c r="M70" s="14">
        <f t="shared" si="30"/>
        <v>0</v>
      </c>
      <c r="N70" s="14">
        <f t="shared" si="19"/>
        <v>0</v>
      </c>
      <c r="O70" s="14">
        <f t="shared" si="31"/>
        <v>0</v>
      </c>
    </row>
    <row r="71" spans="2:15" ht="15">
      <c r="B71" s="41" t="s">
        <v>37</v>
      </c>
      <c r="C71" s="26" t="s">
        <v>68</v>
      </c>
      <c r="D71" s="33">
        <f aca="true" t="shared" si="32" ref="D71:K71">SUM(D39:D70)*0.05</f>
        <v>775000</v>
      </c>
      <c r="E71" s="33">
        <f t="shared" si="32"/>
        <v>729500</v>
      </c>
      <c r="F71" s="33">
        <f t="shared" si="32"/>
        <v>1137135</v>
      </c>
      <c r="G71" s="33">
        <f t="shared" si="32"/>
        <v>2108499.0500000003</v>
      </c>
      <c r="H71" s="33">
        <f t="shared" si="32"/>
        <v>1535004.0215</v>
      </c>
      <c r="I71" s="33">
        <f t="shared" si="32"/>
        <v>1482304.1421450002</v>
      </c>
      <c r="J71" s="34">
        <f t="shared" si="32"/>
        <v>1340423.2664093503</v>
      </c>
      <c r="K71" s="34">
        <f t="shared" si="32"/>
        <v>1119385.9644016307</v>
      </c>
      <c r="M71" s="14">
        <f>SUM(D71:K71)</f>
        <v>10227251.444455981</v>
      </c>
      <c r="N71" s="14">
        <f t="shared" si="19"/>
        <v>1050583</v>
      </c>
      <c r="O71" s="14">
        <f>+N71+M71</f>
        <v>11277834.444455981</v>
      </c>
    </row>
    <row r="72" spans="1:18" ht="15">
      <c r="A72" s="8" t="s">
        <v>69</v>
      </c>
      <c r="B72" s="8"/>
      <c r="C72" s="50" t="s">
        <v>70</v>
      </c>
      <c r="D72" s="51">
        <f aca="true" t="shared" si="33" ref="D72:K72">SUM(D38:D71)</f>
        <v>16275000</v>
      </c>
      <c r="E72" s="51">
        <f t="shared" si="33"/>
        <v>15319500</v>
      </c>
      <c r="F72" s="51">
        <f t="shared" si="33"/>
        <v>23879835</v>
      </c>
      <c r="G72" s="51">
        <f t="shared" si="33"/>
        <v>44278480.05</v>
      </c>
      <c r="H72" s="51">
        <f t="shared" si="33"/>
        <v>32235084.4515</v>
      </c>
      <c r="I72" s="51">
        <f t="shared" si="33"/>
        <v>31128386.985045</v>
      </c>
      <c r="J72" s="52">
        <f t="shared" si="33"/>
        <v>28148888.594596352</v>
      </c>
      <c r="K72" s="52">
        <f t="shared" si="33"/>
        <v>23507105.252434246</v>
      </c>
      <c r="M72" s="52">
        <f aca="true" t="shared" si="34" ref="M72">SUM(D72:L72)</f>
        <v>214772280.3335756</v>
      </c>
      <c r="N72" s="52">
        <f>SUM(N39:N71)</f>
        <v>20007757</v>
      </c>
      <c r="O72" s="52">
        <f>SUM(O39:O71)</f>
        <v>234780037.3335756</v>
      </c>
      <c r="P72" s="15"/>
      <c r="R72" s="53"/>
    </row>
    <row r="73" spans="1:13" ht="15">
      <c r="A73" s="8"/>
      <c r="B73" s="8"/>
      <c r="C73" s="54"/>
      <c r="D73" s="55"/>
      <c r="E73" s="55"/>
      <c r="F73" s="55"/>
      <c r="G73" s="55"/>
      <c r="H73" s="55"/>
      <c r="I73" s="55"/>
      <c r="J73" s="56"/>
      <c r="K73" s="56"/>
      <c r="M73" s="56"/>
    </row>
    <row r="74" spans="1:16" ht="15">
      <c r="A74" s="57" t="s">
        <v>71</v>
      </c>
      <c r="B74" s="57"/>
      <c r="C74" s="58" t="s">
        <v>72</v>
      </c>
      <c r="D74" s="59">
        <f aca="true" t="shared" si="35" ref="D74:K74">+D37-D72</f>
        <v>5473000</v>
      </c>
      <c r="E74" s="59">
        <f t="shared" si="35"/>
        <v>14470000</v>
      </c>
      <c r="F74" s="59">
        <f t="shared" si="35"/>
        <v>18910790</v>
      </c>
      <c r="G74" s="59">
        <f t="shared" si="35"/>
        <v>5463603.700000003</v>
      </c>
      <c r="H74" s="59">
        <f t="shared" si="35"/>
        <v>7146861.811000004</v>
      </c>
      <c r="I74" s="59">
        <f t="shared" si="35"/>
        <v>3488077.66533</v>
      </c>
      <c r="J74" s="59">
        <f t="shared" si="35"/>
        <v>1176089.9952898957</v>
      </c>
      <c r="K74" s="59">
        <f t="shared" si="35"/>
        <v>4934042.6951485835</v>
      </c>
      <c r="L74" s="60"/>
      <c r="M74" s="59">
        <f>+M6-M16-M32-M72</f>
        <v>4934042.695148587</v>
      </c>
      <c r="O74" s="59">
        <f>+O6-O16-O32-O72</f>
        <v>4934041.799219787</v>
      </c>
      <c r="P74" s="61"/>
    </row>
    <row r="75" spans="4:16" ht="15">
      <c r="D75" s="15"/>
      <c r="E75" s="15"/>
      <c r="F75" s="15"/>
      <c r="G75" s="15"/>
      <c r="H75" s="15"/>
      <c r="I75" s="15"/>
      <c r="J75" s="15"/>
      <c r="K75" s="15"/>
      <c r="M75" s="15"/>
      <c r="P75" s="61"/>
    </row>
    <row r="76" spans="3:16" ht="15">
      <c r="C76" s="62" t="s">
        <v>73</v>
      </c>
      <c r="D76" s="63">
        <f aca="true" t="shared" si="36" ref="D76:K76">+D39/0.2</f>
        <v>12500000</v>
      </c>
      <c r="E76" s="63">
        <f t="shared" si="36"/>
        <v>12500000</v>
      </c>
      <c r="F76" s="63">
        <f t="shared" si="36"/>
        <v>12500000</v>
      </c>
      <c r="G76" s="63">
        <f t="shared" si="36"/>
        <v>12500000</v>
      </c>
      <c r="H76" s="63">
        <f t="shared" si="36"/>
        <v>12500000</v>
      </c>
      <c r="I76" s="63">
        <f t="shared" si="36"/>
        <v>12500000</v>
      </c>
      <c r="J76" s="63">
        <f t="shared" si="36"/>
        <v>12500000</v>
      </c>
      <c r="K76" s="63">
        <f t="shared" si="36"/>
        <v>12500000</v>
      </c>
      <c r="M76" s="63">
        <f aca="true" t="shared" si="37" ref="M76">SUM(D76:L76)</f>
        <v>100000000</v>
      </c>
      <c r="N76" s="78"/>
      <c r="O76" s="78"/>
      <c r="P76" s="61"/>
    </row>
    <row r="77" spans="4:16" ht="15">
      <c r="D77" s="15"/>
      <c r="E77" s="15"/>
      <c r="F77" s="15"/>
      <c r="G77" s="15"/>
      <c r="H77" s="15"/>
      <c r="I77" s="15"/>
      <c r="J77" s="15"/>
      <c r="K77" s="15"/>
      <c r="M77" s="15"/>
      <c r="P77" s="61"/>
    </row>
    <row r="78" spans="1:16" ht="15">
      <c r="A78" s="64" t="s">
        <v>74</v>
      </c>
      <c r="B78" s="64"/>
      <c r="D78" s="15"/>
      <c r="E78" s="15"/>
      <c r="F78" s="15"/>
      <c r="G78" s="15"/>
      <c r="H78" s="15"/>
      <c r="I78" s="15"/>
      <c r="J78" s="15"/>
      <c r="K78" s="15"/>
      <c r="M78" s="15"/>
      <c r="P78" s="61"/>
    </row>
    <row r="79" spans="3:16" ht="15" hidden="1">
      <c r="C79" s="41" t="s">
        <v>75</v>
      </c>
      <c r="D79" s="6">
        <v>2022</v>
      </c>
      <c r="E79" s="6">
        <v>2023</v>
      </c>
      <c r="F79" s="6">
        <v>2024</v>
      </c>
      <c r="G79" s="6">
        <v>2025</v>
      </c>
      <c r="H79" s="6">
        <v>2026</v>
      </c>
      <c r="I79" s="6">
        <v>2027</v>
      </c>
      <c r="J79" s="6">
        <v>2028</v>
      </c>
      <c r="K79" s="7">
        <v>2029</v>
      </c>
      <c r="M79" s="7"/>
      <c r="P79" s="61"/>
    </row>
    <row r="80" spans="4:16" ht="15" hidden="1">
      <c r="D80" s="33"/>
      <c r="E80" s="33"/>
      <c r="F80" s="33"/>
      <c r="G80" s="33"/>
      <c r="H80" s="33"/>
      <c r="I80" s="33"/>
      <c r="J80" s="33"/>
      <c r="K80" s="34"/>
      <c r="M80" s="34"/>
      <c r="P80" s="61"/>
    </row>
    <row r="81" spans="3:16" ht="15" hidden="1">
      <c r="C81" t="s">
        <v>76</v>
      </c>
      <c r="D81" s="35">
        <v>7426000</v>
      </c>
      <c r="E81" s="35">
        <v>6142000</v>
      </c>
      <c r="F81" s="35">
        <v>4042000</v>
      </c>
      <c r="G81" s="35">
        <v>0</v>
      </c>
      <c r="H81" s="35"/>
      <c r="I81" s="35"/>
      <c r="J81" s="35"/>
      <c r="K81" s="36"/>
      <c r="M81" s="36"/>
      <c r="P81" s="61"/>
    </row>
    <row r="82" spans="1:16" ht="15" hidden="1" thickTop="1">
      <c r="A82" t="s">
        <v>77</v>
      </c>
      <c r="C82" s="65" t="s">
        <v>78</v>
      </c>
      <c r="D82" s="66">
        <f aca="true" t="shared" si="38" ref="D82:K82">+D72+D32</f>
        <v>17877000</v>
      </c>
      <c r="E82" s="66">
        <f t="shared" si="38"/>
        <v>17640500</v>
      </c>
      <c r="F82" s="66">
        <f t="shared" si="38"/>
        <v>26614835</v>
      </c>
      <c r="G82" s="66">
        <f t="shared" si="38"/>
        <v>47915480.05</v>
      </c>
      <c r="H82" s="66">
        <f t="shared" si="38"/>
        <v>36492084.4515</v>
      </c>
      <c r="I82" s="66">
        <f t="shared" si="38"/>
        <v>45735386.985045</v>
      </c>
      <c r="J82" s="66">
        <f t="shared" si="38"/>
        <v>44683888.594596356</v>
      </c>
      <c r="K82" s="67">
        <f t="shared" si="38"/>
        <v>39003105.252434246</v>
      </c>
      <c r="M82" s="67"/>
      <c r="P82" s="61"/>
    </row>
    <row r="83" spans="1:16" ht="15" hidden="1">
      <c r="A83" t="s">
        <v>77</v>
      </c>
      <c r="C83" s="65" t="s">
        <v>79</v>
      </c>
      <c r="D83" s="13">
        <v>0</v>
      </c>
      <c r="E83" s="13">
        <v>122000</v>
      </c>
      <c r="F83" s="13">
        <v>0</v>
      </c>
      <c r="G83" s="13">
        <v>2251000</v>
      </c>
      <c r="H83" s="13">
        <v>0</v>
      </c>
      <c r="I83" s="13">
        <v>2388000</v>
      </c>
      <c r="J83" s="13">
        <v>0</v>
      </c>
      <c r="K83" s="14">
        <v>2534000</v>
      </c>
      <c r="M83" s="14"/>
      <c r="P83" s="61"/>
    </row>
    <row r="84" spans="1:16" ht="15" hidden="1">
      <c r="A84" t="s">
        <v>77</v>
      </c>
      <c r="C84" s="65" t="s">
        <v>80</v>
      </c>
      <c r="D84" s="13">
        <v>1000000</v>
      </c>
      <c r="E84" s="13">
        <v>-61000</v>
      </c>
      <c r="F84" s="13">
        <v>61000</v>
      </c>
      <c r="G84" s="13">
        <v>-1125500</v>
      </c>
      <c r="H84" s="13">
        <v>1125500</v>
      </c>
      <c r="I84" s="13">
        <v>-1194000</v>
      </c>
      <c r="J84" s="13">
        <v>1194000</v>
      </c>
      <c r="K84" s="14">
        <v>-1267000</v>
      </c>
      <c r="M84" s="14"/>
      <c r="P84" s="61"/>
    </row>
    <row r="85" spans="3:16" ht="15" hidden="1" thickBot="1">
      <c r="C85" s="68" t="s">
        <v>81</v>
      </c>
      <c r="D85" s="69">
        <f aca="true" t="shared" si="39" ref="D85:K85">+D82+D84</f>
        <v>18877000</v>
      </c>
      <c r="E85" s="69">
        <f t="shared" si="39"/>
        <v>17579500</v>
      </c>
      <c r="F85" s="69">
        <f t="shared" si="39"/>
        <v>26675835</v>
      </c>
      <c r="G85" s="69">
        <f t="shared" si="39"/>
        <v>46789980.05</v>
      </c>
      <c r="H85" s="69">
        <f t="shared" si="39"/>
        <v>37617584.4515</v>
      </c>
      <c r="I85" s="69">
        <f t="shared" si="39"/>
        <v>44541386.985045</v>
      </c>
      <c r="J85" s="69">
        <f t="shared" si="39"/>
        <v>45877888.594596356</v>
      </c>
      <c r="K85" s="70">
        <f t="shared" si="39"/>
        <v>37736105.252434246</v>
      </c>
      <c r="M85" s="70"/>
      <c r="P85" s="61"/>
    </row>
    <row r="86" spans="3:16" ht="15" hidden="1">
      <c r="C86" t="s">
        <v>82</v>
      </c>
      <c r="D86" s="35">
        <f aca="true" t="shared" si="40" ref="D86:K86">+D85+D81</f>
        <v>26303000</v>
      </c>
      <c r="E86" s="35">
        <f t="shared" si="40"/>
        <v>23721500</v>
      </c>
      <c r="F86" s="35">
        <f t="shared" si="40"/>
        <v>30717835</v>
      </c>
      <c r="G86" s="35">
        <f t="shared" si="40"/>
        <v>46789980.05</v>
      </c>
      <c r="H86" s="35">
        <f t="shared" si="40"/>
        <v>37617584.4515</v>
      </c>
      <c r="I86" s="35">
        <f t="shared" si="40"/>
        <v>44541386.985045</v>
      </c>
      <c r="J86" s="35">
        <f t="shared" si="40"/>
        <v>45877888.594596356</v>
      </c>
      <c r="K86" s="36">
        <f t="shared" si="40"/>
        <v>37736105.252434246</v>
      </c>
      <c r="M86" s="36"/>
      <c r="P86" s="61"/>
    </row>
    <row r="87" spans="1:16" ht="15" hidden="1">
      <c r="A87" t="s">
        <v>83</v>
      </c>
      <c r="D87" s="13"/>
      <c r="E87" s="13"/>
      <c r="F87" s="13"/>
      <c r="G87" s="13"/>
      <c r="H87" s="13"/>
      <c r="I87" s="13"/>
      <c r="J87" s="13"/>
      <c r="K87" s="14"/>
      <c r="M87" s="14"/>
      <c r="P87" s="61"/>
    </row>
    <row r="88" spans="3:16" ht="15" hidden="1">
      <c r="C88" t="s">
        <v>84</v>
      </c>
      <c r="D88" s="13"/>
      <c r="E88" s="13"/>
      <c r="F88" s="13"/>
      <c r="G88" s="13">
        <v>-300000</v>
      </c>
      <c r="H88" s="13">
        <v>-3500000</v>
      </c>
      <c r="I88" s="13">
        <v>-6000000</v>
      </c>
      <c r="J88" s="13">
        <v>-9300000</v>
      </c>
      <c r="K88" s="14">
        <v>-12300000</v>
      </c>
      <c r="M88" s="14"/>
      <c r="P88" s="61"/>
    </row>
    <row r="89" spans="1:16" ht="15" hidden="1">
      <c r="A89" t="s">
        <v>85</v>
      </c>
      <c r="C89" t="s">
        <v>86</v>
      </c>
      <c r="D89" s="13"/>
      <c r="E89" s="13"/>
      <c r="F89" s="13"/>
      <c r="G89" s="13">
        <v>-300000</v>
      </c>
      <c r="H89" s="13">
        <v>-3500000</v>
      </c>
      <c r="I89" s="13">
        <v>-6000000</v>
      </c>
      <c r="J89" s="13">
        <v>-9300000</v>
      </c>
      <c r="K89" s="14">
        <v>-12300000</v>
      </c>
      <c r="M89" s="14"/>
      <c r="P89" s="61"/>
    </row>
    <row r="90" spans="1:16" ht="15" hidden="1">
      <c r="A90" t="s">
        <v>87</v>
      </c>
      <c r="D90" s="33">
        <f>+D81</f>
        <v>7426000</v>
      </c>
      <c r="E90" s="33">
        <f>+E81</f>
        <v>6142000</v>
      </c>
      <c r="F90" s="33">
        <f>+F81</f>
        <v>4042000</v>
      </c>
      <c r="G90" s="33">
        <v>0</v>
      </c>
      <c r="H90" s="33"/>
      <c r="I90" s="33"/>
      <c r="J90" s="33"/>
      <c r="K90" s="34"/>
      <c r="M90" s="34"/>
      <c r="P90" s="61"/>
    </row>
    <row r="91" spans="4:16" ht="15">
      <c r="D91" s="15"/>
      <c r="E91" s="15"/>
      <c r="F91" s="15"/>
      <c r="G91" s="15"/>
      <c r="H91" s="15"/>
      <c r="I91" s="15"/>
      <c r="J91" s="15"/>
      <c r="K91" s="15"/>
      <c r="M91" s="15"/>
      <c r="P91" s="61"/>
    </row>
    <row r="92" spans="1:16" ht="21">
      <c r="A92" s="71" t="s">
        <v>88</v>
      </c>
      <c r="B92" s="71"/>
      <c r="D92" s="15"/>
      <c r="E92" s="15"/>
      <c r="F92" s="15"/>
      <c r="G92" s="15"/>
      <c r="H92" s="15"/>
      <c r="I92" s="15"/>
      <c r="J92" s="15"/>
      <c r="K92" s="15"/>
      <c r="M92" s="15"/>
      <c r="P92" s="61"/>
    </row>
    <row r="93" ht="15">
      <c r="P93" s="61"/>
    </row>
    <row r="94" spans="4:16" ht="15">
      <c r="D94" s="8">
        <v>2022</v>
      </c>
      <c r="E94" s="8">
        <v>2023</v>
      </c>
      <c r="F94" s="8">
        <v>2024</v>
      </c>
      <c r="G94" s="8">
        <v>2025</v>
      </c>
      <c r="H94" s="8">
        <v>2026</v>
      </c>
      <c r="I94" s="8">
        <v>2027</v>
      </c>
      <c r="J94" s="8">
        <v>2028</v>
      </c>
      <c r="K94" s="8">
        <v>2029</v>
      </c>
      <c r="M94" s="8"/>
      <c r="P94" s="61"/>
    </row>
    <row r="95" spans="1:2" ht="15">
      <c r="A95" s="41" t="s">
        <v>89</v>
      </c>
      <c r="B95" s="41"/>
    </row>
    <row r="96" spans="3:13" ht="15">
      <c r="C96" s="5" t="s">
        <v>90</v>
      </c>
      <c r="D96" s="35">
        <f>+'[1]Calculation of Needs'!D6</f>
        <v>1564500</v>
      </c>
      <c r="E96" s="35">
        <f>+'[1]Calculation of Needs'!E6</f>
        <v>1500000</v>
      </c>
      <c r="F96" s="35">
        <f>+'[1]Calculation of Needs'!F6</f>
        <v>1500000</v>
      </c>
      <c r="G96" s="35">
        <v>0</v>
      </c>
      <c r="H96" s="35">
        <v>0</v>
      </c>
      <c r="I96" s="35">
        <f>+'[1]Calculation of Needs'!G6</f>
        <v>1500000</v>
      </c>
      <c r="J96" s="36">
        <f>+'[1]Calculation of Needs'!H6</f>
        <v>1500000</v>
      </c>
      <c r="K96" s="36">
        <f>+'[1]Calculation of Needs'!I6</f>
        <v>0</v>
      </c>
      <c r="M96" s="36">
        <f aca="true" t="shared" si="41" ref="M96:M98">SUM(D96:L96)</f>
        <v>7564500</v>
      </c>
    </row>
    <row r="97" spans="3:13" ht="15">
      <c r="C97" s="72" t="s">
        <v>91</v>
      </c>
      <c r="D97" s="73">
        <f aca="true" t="shared" si="42" ref="D97:K97">+D21</f>
        <v>1526000</v>
      </c>
      <c r="E97" s="73">
        <f t="shared" si="42"/>
        <v>1683000</v>
      </c>
      <c r="F97" s="73">
        <f t="shared" si="42"/>
        <v>1778000</v>
      </c>
      <c r="G97" s="73">
        <f t="shared" si="42"/>
        <v>1877000</v>
      </c>
      <c r="H97" s="73">
        <f t="shared" si="42"/>
        <v>1978000</v>
      </c>
      <c r="I97" s="73">
        <f t="shared" si="42"/>
        <v>3582000</v>
      </c>
      <c r="J97" s="74">
        <f t="shared" si="42"/>
        <v>3690000</v>
      </c>
      <c r="K97" s="74">
        <f t="shared" si="42"/>
        <v>3800000</v>
      </c>
      <c r="M97" s="74">
        <f t="shared" si="41"/>
        <v>19914000</v>
      </c>
    </row>
    <row r="98" spans="3:13" ht="15">
      <c r="C98" s="9" t="s">
        <v>92</v>
      </c>
      <c r="D98" s="10">
        <f aca="true" t="shared" si="43" ref="D98:K98">SUM(D96:D97)</f>
        <v>3090500</v>
      </c>
      <c r="E98" s="10">
        <f t="shared" si="43"/>
        <v>3183000</v>
      </c>
      <c r="F98" s="10">
        <f t="shared" si="43"/>
        <v>3278000</v>
      </c>
      <c r="G98" s="10">
        <f t="shared" si="43"/>
        <v>1877000</v>
      </c>
      <c r="H98" s="10">
        <f t="shared" si="43"/>
        <v>1978000</v>
      </c>
      <c r="I98" s="10">
        <f t="shared" si="43"/>
        <v>5082000</v>
      </c>
      <c r="J98" s="11">
        <f t="shared" si="43"/>
        <v>5190000</v>
      </c>
      <c r="K98" s="11">
        <f t="shared" si="43"/>
        <v>3800000</v>
      </c>
      <c r="M98" s="11">
        <f t="shared" si="41"/>
        <v>27478500</v>
      </c>
    </row>
    <row r="99" spans="1:13" ht="30" customHeight="1">
      <c r="A99" s="41" t="s">
        <v>93</v>
      </c>
      <c r="B99" s="41"/>
      <c r="C99" s="22"/>
      <c r="D99" s="27"/>
      <c r="E99" s="27"/>
      <c r="F99" s="27"/>
      <c r="G99" s="27"/>
      <c r="H99" s="27"/>
      <c r="I99" s="27"/>
      <c r="J99" s="28"/>
      <c r="K99" s="28"/>
      <c r="M99" s="28"/>
    </row>
    <row r="100" spans="3:13" ht="15">
      <c r="C100" s="22" t="s">
        <v>90</v>
      </c>
      <c r="D100" s="13">
        <f>+'[1]Calculation of Needs'!D13</f>
        <v>3043000</v>
      </c>
      <c r="E100" s="13">
        <f>+'[1]Calculation of Needs'!E13</f>
        <v>2607237</v>
      </c>
      <c r="F100" s="13">
        <f>+'[1]Calculation of Needs'!F13</f>
        <v>2607238</v>
      </c>
      <c r="G100" s="13">
        <f>+'[1]Calculation of Needs'!G13</f>
        <v>2180283</v>
      </c>
      <c r="H100" s="13">
        <f>+'[1]Calculation of Needs'!H13</f>
        <v>2180284</v>
      </c>
      <c r="I100" s="13">
        <f>+'[1]Calculation of Needs'!I13</f>
        <v>0</v>
      </c>
      <c r="J100" s="14">
        <f>+'[1]Calculation of Needs'!J13</f>
        <v>0</v>
      </c>
      <c r="K100" s="14">
        <f>+'[1]Calculation of Needs'!K13</f>
        <v>0</v>
      </c>
      <c r="M100" s="14">
        <f aca="true" t="shared" si="44" ref="M100:M102">SUM(D100:L100)</f>
        <v>12618042</v>
      </c>
    </row>
    <row r="101" spans="3:13" ht="15">
      <c r="C101" s="72" t="s">
        <v>91</v>
      </c>
      <c r="D101" s="73">
        <f aca="true" t="shared" si="45" ref="D101:K101">+D22</f>
        <v>0</v>
      </c>
      <c r="E101" s="73">
        <f t="shared" si="45"/>
        <v>527000</v>
      </c>
      <c r="F101" s="73">
        <f t="shared" si="45"/>
        <v>621000</v>
      </c>
      <c r="G101" s="73">
        <f t="shared" si="45"/>
        <v>1145000</v>
      </c>
      <c r="H101" s="73">
        <f t="shared" si="45"/>
        <v>1245000</v>
      </c>
      <c r="I101" s="73">
        <f t="shared" si="45"/>
        <v>3528000</v>
      </c>
      <c r="J101" s="74">
        <f t="shared" si="45"/>
        <v>3634000</v>
      </c>
      <c r="K101" s="74">
        <f t="shared" si="45"/>
        <v>3743000</v>
      </c>
      <c r="M101" s="74">
        <f t="shared" si="44"/>
        <v>14443000</v>
      </c>
    </row>
    <row r="102" spans="3:13" ht="15">
      <c r="C102" s="9" t="s">
        <v>94</v>
      </c>
      <c r="D102" s="10">
        <f aca="true" t="shared" si="46" ref="D102:K102">SUM(D100:D101)</f>
        <v>3043000</v>
      </c>
      <c r="E102" s="10">
        <f t="shared" si="46"/>
        <v>3134237</v>
      </c>
      <c r="F102" s="10">
        <f t="shared" si="46"/>
        <v>3228238</v>
      </c>
      <c r="G102" s="10">
        <f t="shared" si="46"/>
        <v>3325283</v>
      </c>
      <c r="H102" s="10">
        <f t="shared" si="46"/>
        <v>3425284</v>
      </c>
      <c r="I102" s="10">
        <f t="shared" si="46"/>
        <v>3528000</v>
      </c>
      <c r="J102" s="11">
        <f t="shared" si="46"/>
        <v>3634000</v>
      </c>
      <c r="K102" s="11">
        <f t="shared" si="46"/>
        <v>3743000</v>
      </c>
      <c r="M102" s="11">
        <f t="shared" si="44"/>
        <v>27061042</v>
      </c>
    </row>
    <row r="103" spans="1:13" ht="30" customHeight="1">
      <c r="A103" s="41" t="s">
        <v>95</v>
      </c>
      <c r="B103" s="41"/>
      <c r="C103" s="22"/>
      <c r="D103" s="27"/>
      <c r="E103" s="27"/>
      <c r="F103" s="27"/>
      <c r="G103" s="27"/>
      <c r="H103" s="27"/>
      <c r="I103" s="27"/>
      <c r="J103" s="28"/>
      <c r="K103" s="28"/>
      <c r="M103" s="28"/>
    </row>
    <row r="104" spans="1:13" ht="15">
      <c r="A104" s="41"/>
      <c r="B104" s="41"/>
      <c r="C104" s="22" t="s">
        <v>90</v>
      </c>
      <c r="D104" s="13">
        <f>+'[1]Calculation of Needs'!D20</f>
        <v>2993500</v>
      </c>
      <c r="E104" s="13">
        <f>+'[1]Calculation of Needs'!E20</f>
        <v>3594925</v>
      </c>
      <c r="F104" s="13">
        <f>+'[1]Calculation of Needs'!F20</f>
        <v>3806313</v>
      </c>
      <c r="G104" s="13">
        <f>+'[1]Calculation of Needs'!G20</f>
        <v>4025708</v>
      </c>
      <c r="H104" s="13">
        <f>+'[1]Calculation of Needs'!H20</f>
        <v>3637600</v>
      </c>
      <c r="I104" s="13">
        <f>+'[1]Calculation of Needs'!I20</f>
        <v>0</v>
      </c>
      <c r="J104" s="14">
        <f>+'[1]Calculation of Needs'!J20</f>
        <v>0</v>
      </c>
      <c r="K104" s="14">
        <f>+'[1]Calculation of Needs'!K20</f>
        <v>0</v>
      </c>
      <c r="M104" s="14">
        <f aca="true" t="shared" si="47" ref="M104:M106">SUM(D104:L104)</f>
        <v>18058046</v>
      </c>
    </row>
    <row r="105" spans="1:13" ht="15">
      <c r="A105" s="41"/>
      <c r="B105" s="41"/>
      <c r="C105" s="72" t="s">
        <v>91</v>
      </c>
      <c r="D105" s="73">
        <f aca="true" t="shared" si="48" ref="D105:K105">+D23</f>
        <v>0</v>
      </c>
      <c r="E105" s="73">
        <f t="shared" si="48"/>
        <v>0</v>
      </c>
      <c r="F105" s="73">
        <f t="shared" si="48"/>
        <v>0</v>
      </c>
      <c r="G105" s="73">
        <f t="shared" si="48"/>
        <v>0</v>
      </c>
      <c r="H105" s="73">
        <f t="shared" si="48"/>
        <v>600000</v>
      </c>
      <c r="I105" s="73">
        <f t="shared" si="48"/>
        <v>4365000</v>
      </c>
      <c r="J105" s="74">
        <f t="shared" si="48"/>
        <v>4496000</v>
      </c>
      <c r="K105" s="74">
        <f t="shared" si="48"/>
        <v>4631000</v>
      </c>
      <c r="M105" s="74">
        <f t="shared" si="47"/>
        <v>14092000</v>
      </c>
    </row>
    <row r="106" spans="1:13" ht="15">
      <c r="A106" s="41"/>
      <c r="B106" s="41"/>
      <c r="C106" s="9" t="s">
        <v>96</v>
      </c>
      <c r="D106" s="10">
        <f aca="true" t="shared" si="49" ref="D106:K106">SUM(D104:D105)</f>
        <v>2993500</v>
      </c>
      <c r="E106" s="10">
        <f t="shared" si="49"/>
        <v>3594925</v>
      </c>
      <c r="F106" s="10">
        <f t="shared" si="49"/>
        <v>3806313</v>
      </c>
      <c r="G106" s="10">
        <f t="shared" si="49"/>
        <v>4025708</v>
      </c>
      <c r="H106" s="10">
        <f t="shared" si="49"/>
        <v>4237600</v>
      </c>
      <c r="I106" s="10">
        <f t="shared" si="49"/>
        <v>4365000</v>
      </c>
      <c r="J106" s="11">
        <f t="shared" si="49"/>
        <v>4496000</v>
      </c>
      <c r="K106" s="11">
        <f t="shared" si="49"/>
        <v>4631000</v>
      </c>
      <c r="M106" s="11">
        <f t="shared" si="47"/>
        <v>32150046</v>
      </c>
    </row>
    <row r="107" spans="1:13" ht="30" customHeight="1">
      <c r="A107" s="41" t="s">
        <v>97</v>
      </c>
      <c r="B107" s="41"/>
      <c r="C107" s="22"/>
      <c r="D107" s="27"/>
      <c r="E107" s="27"/>
      <c r="F107" s="27"/>
      <c r="G107" s="27"/>
      <c r="H107" s="27"/>
      <c r="I107" s="27"/>
      <c r="J107" s="28"/>
      <c r="K107" s="28"/>
      <c r="M107" s="28"/>
    </row>
    <row r="108" spans="1:13" ht="15">
      <c r="A108" s="41"/>
      <c r="B108" s="41"/>
      <c r="C108" s="22" t="s">
        <v>90</v>
      </c>
      <c r="D108" s="13">
        <f>+'[1]Calculation of Needs'!D25</f>
        <v>563220</v>
      </c>
      <c r="E108" s="13">
        <f>+'[1]Calculation of Needs'!E25</f>
        <v>414939</v>
      </c>
      <c r="F108" s="13">
        <f>+'[1]Calculation of Needs'!F25</f>
        <v>440198</v>
      </c>
      <c r="G108" s="13">
        <f>+'[1]Calculation of Needs'!G25</f>
        <v>749566</v>
      </c>
      <c r="H108" s="13">
        <f>+'[1]Calculation of Needs'!H25</f>
        <v>777045</v>
      </c>
      <c r="I108" s="13">
        <f>+'[1]Calculation of Needs'!I25</f>
        <v>0</v>
      </c>
      <c r="J108" s="14">
        <f>+'[1]Calculation of Needs'!J25</f>
        <v>0</v>
      </c>
      <c r="K108" s="14">
        <f>+'[1]Calculation of Needs'!K25</f>
        <v>0</v>
      </c>
      <c r="M108" s="14">
        <f aca="true" t="shared" si="50" ref="M108:M110">SUM(D108:L108)</f>
        <v>2944968</v>
      </c>
    </row>
    <row r="109" spans="1:13" ht="15">
      <c r="A109" s="41"/>
      <c r="B109" s="41"/>
      <c r="C109" s="72" t="s">
        <v>91</v>
      </c>
      <c r="D109" s="73">
        <f aca="true" t="shared" si="51" ref="D109:K109">+D24</f>
        <v>0</v>
      </c>
      <c r="E109" s="73">
        <f t="shared" si="51"/>
        <v>0</v>
      </c>
      <c r="F109" s="73">
        <f t="shared" si="51"/>
        <v>0</v>
      </c>
      <c r="G109" s="73">
        <f t="shared" si="51"/>
        <v>0</v>
      </c>
      <c r="H109" s="73">
        <f t="shared" si="51"/>
        <v>0</v>
      </c>
      <c r="I109" s="73">
        <f t="shared" si="51"/>
        <v>800000</v>
      </c>
      <c r="J109" s="74">
        <f t="shared" si="51"/>
        <v>824000</v>
      </c>
      <c r="K109" s="74">
        <f t="shared" si="51"/>
        <v>849000</v>
      </c>
      <c r="M109" s="74">
        <f t="shared" si="50"/>
        <v>2473000</v>
      </c>
    </row>
    <row r="110" spans="1:13" ht="15">
      <c r="A110" s="41"/>
      <c r="B110" s="41"/>
      <c r="C110" s="9" t="s">
        <v>98</v>
      </c>
      <c r="D110" s="10">
        <f aca="true" t="shared" si="52" ref="D110:K110">SUM(D108:D109)</f>
        <v>563220</v>
      </c>
      <c r="E110" s="10">
        <f t="shared" si="52"/>
        <v>414939</v>
      </c>
      <c r="F110" s="10">
        <f t="shared" si="52"/>
        <v>440198</v>
      </c>
      <c r="G110" s="10">
        <f t="shared" si="52"/>
        <v>749566</v>
      </c>
      <c r="H110" s="10">
        <f t="shared" si="52"/>
        <v>777045</v>
      </c>
      <c r="I110" s="10">
        <f t="shared" si="52"/>
        <v>800000</v>
      </c>
      <c r="J110" s="11">
        <f t="shared" si="52"/>
        <v>824000</v>
      </c>
      <c r="K110" s="11">
        <f t="shared" si="52"/>
        <v>849000</v>
      </c>
      <c r="M110" s="11">
        <f t="shared" si="50"/>
        <v>5417968</v>
      </c>
    </row>
    <row r="111" spans="1:13" ht="30" customHeight="1">
      <c r="A111" s="41" t="s">
        <v>99</v>
      </c>
      <c r="B111" s="41"/>
      <c r="C111" s="22"/>
      <c r="D111" s="27"/>
      <c r="E111" s="27"/>
      <c r="F111" s="27"/>
      <c r="G111" s="27"/>
      <c r="H111" s="27"/>
      <c r="I111" s="27"/>
      <c r="J111" s="28"/>
      <c r="K111" s="28"/>
      <c r="M111" s="28"/>
    </row>
    <row r="112" spans="1:13" ht="15">
      <c r="A112" s="41"/>
      <c r="B112" s="41"/>
      <c r="C112" s="22" t="s">
        <v>90</v>
      </c>
      <c r="D112" s="13">
        <f>+'[1]Calculation of Needs'!D29</f>
        <v>2694600</v>
      </c>
      <c r="E112" s="13">
        <f>+'[1]Calculation of Needs'!E29</f>
        <v>500000</v>
      </c>
      <c r="F112" s="13">
        <f>+'[1]Calculation of Needs'!F29</f>
        <v>2000000</v>
      </c>
      <c r="G112" s="13">
        <f>+'[1]Calculation of Needs'!G29</f>
        <v>300000</v>
      </c>
      <c r="H112" s="13">
        <f>+'[1]Calculation of Needs'!H29</f>
        <v>2000000</v>
      </c>
      <c r="I112" s="13">
        <f>+'[1]Calculation of Needs'!I29</f>
        <v>0</v>
      </c>
      <c r="J112" s="14">
        <f>+'[1]Calculation of Needs'!J29</f>
        <v>0</v>
      </c>
      <c r="K112" s="14">
        <f>+'[1]Calculation of Needs'!K29</f>
        <v>0</v>
      </c>
      <c r="M112" s="14">
        <f aca="true" t="shared" si="53" ref="M112:M114">SUM(D112:L112)</f>
        <v>7494600</v>
      </c>
    </row>
    <row r="113" spans="1:13" ht="15">
      <c r="A113" s="41"/>
      <c r="B113" s="41"/>
      <c r="C113" s="72" t="s">
        <v>91</v>
      </c>
      <c r="D113" s="73">
        <f aca="true" t="shared" si="54" ref="D113:K113">+D25</f>
        <v>0</v>
      </c>
      <c r="E113" s="73">
        <f t="shared" si="54"/>
        <v>0</v>
      </c>
      <c r="F113" s="73">
        <f t="shared" si="54"/>
        <v>0</v>
      </c>
      <c r="G113" s="73">
        <f t="shared" si="54"/>
        <v>230000</v>
      </c>
      <c r="H113" s="73">
        <f t="shared" si="54"/>
        <v>0</v>
      </c>
      <c r="I113" s="73">
        <f t="shared" si="54"/>
        <v>563000</v>
      </c>
      <c r="J113" s="74">
        <f t="shared" si="54"/>
        <v>2000000</v>
      </c>
      <c r="K113" s="74">
        <f t="shared" si="54"/>
        <v>597000</v>
      </c>
      <c r="M113" s="74">
        <f t="shared" si="53"/>
        <v>3390000</v>
      </c>
    </row>
    <row r="114" spans="1:13" ht="15">
      <c r="A114" s="41"/>
      <c r="B114" s="41"/>
      <c r="C114" s="9" t="s">
        <v>100</v>
      </c>
      <c r="D114" s="10">
        <f aca="true" t="shared" si="55" ref="D114:K114">SUM(D112:D113)</f>
        <v>2694600</v>
      </c>
      <c r="E114" s="10">
        <f t="shared" si="55"/>
        <v>500000</v>
      </c>
      <c r="F114" s="10">
        <f t="shared" si="55"/>
        <v>2000000</v>
      </c>
      <c r="G114" s="10">
        <f t="shared" si="55"/>
        <v>530000</v>
      </c>
      <c r="H114" s="10">
        <f t="shared" si="55"/>
        <v>2000000</v>
      </c>
      <c r="I114" s="10">
        <f t="shared" si="55"/>
        <v>563000</v>
      </c>
      <c r="J114" s="11">
        <f t="shared" si="55"/>
        <v>2000000</v>
      </c>
      <c r="K114" s="11">
        <f t="shared" si="55"/>
        <v>597000</v>
      </c>
      <c r="M114" s="11">
        <f t="shared" si="53"/>
        <v>10884600</v>
      </c>
    </row>
    <row r="115" spans="1:13" ht="30" customHeight="1">
      <c r="A115" s="41" t="s">
        <v>101</v>
      </c>
      <c r="B115" s="41"/>
      <c r="C115" s="22"/>
      <c r="D115" s="27"/>
      <c r="E115" s="27"/>
      <c r="F115" s="27"/>
      <c r="G115" s="27"/>
      <c r="H115" s="27"/>
      <c r="I115" s="27"/>
      <c r="J115" s="28"/>
      <c r="K115" s="28"/>
      <c r="M115" s="28"/>
    </row>
    <row r="116" spans="1:13" ht="15">
      <c r="A116" s="41"/>
      <c r="B116" s="41"/>
      <c r="C116" s="22" t="s">
        <v>90</v>
      </c>
      <c r="D116" s="13">
        <f>'[1]Calculation of Needs'!D33</f>
        <v>1000000</v>
      </c>
      <c r="E116" s="13">
        <f>'[1]Calculation of Needs'!E33</f>
        <v>200000</v>
      </c>
      <c r="F116" s="13">
        <f>'[1]Calculation of Needs'!F33</f>
        <v>0</v>
      </c>
      <c r="G116" s="13">
        <f>'[1]Calculation of Needs'!G33</f>
        <v>0</v>
      </c>
      <c r="H116" s="13">
        <f>'[1]Calculation of Needs'!H33</f>
        <v>0</v>
      </c>
      <c r="I116" s="13">
        <f>'[1]Calculation of Needs'!I33</f>
        <v>0</v>
      </c>
      <c r="J116" s="13">
        <f>'[1]Calculation of Needs'!J33</f>
        <v>0</v>
      </c>
      <c r="K116" s="14">
        <f>'[1]Calculation of Needs'!K33</f>
        <v>0</v>
      </c>
      <c r="M116" s="14">
        <f aca="true" t="shared" si="56" ref="M116:M118">SUM(D116:L116)</f>
        <v>1200000</v>
      </c>
    </row>
    <row r="117" spans="1:13" ht="15">
      <c r="A117" s="41"/>
      <c r="B117" s="41"/>
      <c r="C117" s="72" t="s">
        <v>91</v>
      </c>
      <c r="D117" s="13">
        <f>D26</f>
        <v>0</v>
      </c>
      <c r="E117" s="13">
        <f>E26</f>
        <v>0</v>
      </c>
      <c r="F117" s="13">
        <f>F26</f>
        <v>206000</v>
      </c>
      <c r="G117" s="13">
        <f>G26</f>
        <v>212000</v>
      </c>
      <c r="H117" s="13">
        <f>H26</f>
        <v>219000</v>
      </c>
      <c r="I117" s="13"/>
      <c r="J117" s="14"/>
      <c r="K117" s="14"/>
      <c r="M117" s="14">
        <f t="shared" si="56"/>
        <v>637000</v>
      </c>
    </row>
    <row r="118" spans="1:13" ht="15">
      <c r="A118" s="41"/>
      <c r="B118" s="41"/>
      <c r="C118" s="9" t="s">
        <v>102</v>
      </c>
      <c r="D118" s="10">
        <f>SUM(D116:D117)</f>
        <v>1000000</v>
      </c>
      <c r="E118" s="10">
        <f aca="true" t="shared" si="57" ref="E118:K118">SUM(E116:E117)</f>
        <v>200000</v>
      </c>
      <c r="F118" s="10">
        <f t="shared" si="57"/>
        <v>206000</v>
      </c>
      <c r="G118" s="10">
        <f t="shared" si="57"/>
        <v>212000</v>
      </c>
      <c r="H118" s="10">
        <f t="shared" si="57"/>
        <v>219000</v>
      </c>
      <c r="I118" s="10">
        <f t="shared" si="57"/>
        <v>0</v>
      </c>
      <c r="J118" s="10">
        <f t="shared" si="57"/>
        <v>0</v>
      </c>
      <c r="K118" s="11">
        <f t="shared" si="57"/>
        <v>0</v>
      </c>
      <c r="M118" s="11">
        <f t="shared" si="56"/>
        <v>1837000</v>
      </c>
    </row>
    <row r="119" spans="1:13" ht="30" customHeight="1">
      <c r="A119" s="41" t="s">
        <v>103</v>
      </c>
      <c r="B119" s="41"/>
      <c r="C119" s="22"/>
      <c r="D119" s="27"/>
      <c r="E119" s="27"/>
      <c r="F119" s="27"/>
      <c r="G119" s="27"/>
      <c r="H119" s="27"/>
      <c r="I119" s="27"/>
      <c r="J119" s="28"/>
      <c r="K119" s="28"/>
      <c r="M119" s="28"/>
    </row>
    <row r="120" spans="1:13" ht="15">
      <c r="A120" s="41"/>
      <c r="B120" s="41"/>
      <c r="C120" s="22" t="s">
        <v>90</v>
      </c>
      <c r="D120" s="13">
        <f>'[1]Calculation of Needs'!D37</f>
        <v>52150</v>
      </c>
      <c r="E120" s="13">
        <f>'[1]Calculation of Needs'!E37</f>
        <v>54392</v>
      </c>
      <c r="F120" s="13">
        <f>'[1]Calculation of Needs'!F37</f>
        <v>56731</v>
      </c>
      <c r="G120" s="13">
        <f>'[1]Calculation of Needs'!G37</f>
        <v>59171</v>
      </c>
      <c r="H120" s="13">
        <f>'[1]Calculation of Needs'!H37</f>
        <v>61715</v>
      </c>
      <c r="I120" s="13">
        <f>'[1]Calculation of Needs'!I37</f>
        <v>0</v>
      </c>
      <c r="J120" s="13">
        <f>'[1]Calculation of Needs'!J37</f>
        <v>0</v>
      </c>
      <c r="K120" s="14">
        <f>'[1]Calculation of Needs'!K37</f>
        <v>0</v>
      </c>
      <c r="M120" s="14">
        <f aca="true" t="shared" si="58" ref="M120:M122">SUM(D120:L120)</f>
        <v>284159</v>
      </c>
    </row>
    <row r="121" spans="1:13" ht="15">
      <c r="A121" s="41"/>
      <c r="B121" s="41"/>
      <c r="C121" s="72" t="s">
        <v>91</v>
      </c>
      <c r="D121" s="13">
        <f aca="true" t="shared" si="59" ref="D121:K121">D27</f>
        <v>0</v>
      </c>
      <c r="E121" s="13">
        <f t="shared" si="59"/>
        <v>0</v>
      </c>
      <c r="F121" s="13">
        <f t="shared" si="59"/>
        <v>0</v>
      </c>
      <c r="G121" s="13">
        <f t="shared" si="59"/>
        <v>0</v>
      </c>
      <c r="H121" s="13">
        <f t="shared" si="59"/>
        <v>0</v>
      </c>
      <c r="I121" s="13">
        <f t="shared" si="59"/>
        <v>64000</v>
      </c>
      <c r="J121" s="13">
        <f t="shared" si="59"/>
        <v>65000</v>
      </c>
      <c r="K121" s="14">
        <f t="shared" si="59"/>
        <v>67000</v>
      </c>
      <c r="M121" s="14">
        <f t="shared" si="58"/>
        <v>196000</v>
      </c>
    </row>
    <row r="122" spans="1:13" ht="15">
      <c r="A122" s="41"/>
      <c r="B122" s="41"/>
      <c r="C122" s="9" t="s">
        <v>104</v>
      </c>
      <c r="D122" s="10">
        <f>SUM(D120:D121)</f>
        <v>52150</v>
      </c>
      <c r="E122" s="10">
        <f aca="true" t="shared" si="60" ref="E122:K122">SUM(E120:E121)</f>
        <v>54392</v>
      </c>
      <c r="F122" s="10">
        <f t="shared" si="60"/>
        <v>56731</v>
      </c>
      <c r="G122" s="10">
        <f t="shared" si="60"/>
        <v>59171</v>
      </c>
      <c r="H122" s="10">
        <f t="shared" si="60"/>
        <v>61715</v>
      </c>
      <c r="I122" s="10">
        <f t="shared" si="60"/>
        <v>64000</v>
      </c>
      <c r="J122" s="10">
        <f t="shared" si="60"/>
        <v>65000</v>
      </c>
      <c r="K122" s="11">
        <f t="shared" si="60"/>
        <v>67000</v>
      </c>
      <c r="M122" s="11">
        <f t="shared" si="58"/>
        <v>480159</v>
      </c>
    </row>
    <row r="123" spans="1:13" ht="30" customHeight="1">
      <c r="A123" s="41" t="s">
        <v>105</v>
      </c>
      <c r="B123" s="41"/>
      <c r="C123" s="22"/>
      <c r="D123" s="27"/>
      <c r="E123" s="27"/>
      <c r="F123" s="27"/>
      <c r="G123" s="27"/>
      <c r="H123" s="27"/>
      <c r="I123" s="27"/>
      <c r="J123" s="28"/>
      <c r="K123" s="28"/>
      <c r="M123" s="28"/>
    </row>
    <row r="124" spans="1:13" ht="15">
      <c r="A124" s="41"/>
      <c r="B124" s="41"/>
      <c r="C124" s="22" t="s">
        <v>90</v>
      </c>
      <c r="D124" s="13">
        <f>'[1]Calculation of Needs'!D41</f>
        <v>477950</v>
      </c>
      <c r="E124" s="13">
        <f>'[1]Calculation of Needs'!E41</f>
        <v>223500</v>
      </c>
      <c r="F124" s="13">
        <f>'[1]Calculation of Needs'!F41</f>
        <v>223500</v>
      </c>
      <c r="G124" s="13">
        <f>'[1]Calculation of Needs'!G41</f>
        <v>172000</v>
      </c>
      <c r="H124" s="13">
        <f>'[1]Calculation of Needs'!H41</f>
        <v>172000</v>
      </c>
      <c r="I124" s="13">
        <f>'[1]Calculation of Needs'!I41</f>
        <v>0</v>
      </c>
      <c r="J124" s="13">
        <f>'[1]Calculation of Needs'!J41</f>
        <v>0</v>
      </c>
      <c r="K124" s="14">
        <f>'[1]Calculation of Needs'!K41</f>
        <v>0</v>
      </c>
      <c r="M124" s="14">
        <f aca="true" t="shared" si="61" ref="M124:M126">SUM(D124:L124)</f>
        <v>1268950</v>
      </c>
    </row>
    <row r="125" spans="1:13" ht="15">
      <c r="A125" s="41"/>
      <c r="B125" s="41"/>
      <c r="C125" s="72" t="s">
        <v>91</v>
      </c>
      <c r="D125" s="13">
        <f aca="true" t="shared" si="62" ref="D125:K125">D28</f>
        <v>0</v>
      </c>
      <c r="E125" s="13">
        <f t="shared" si="62"/>
        <v>0</v>
      </c>
      <c r="F125" s="13">
        <f t="shared" si="62"/>
        <v>0</v>
      </c>
      <c r="G125" s="13">
        <f t="shared" si="62"/>
        <v>0</v>
      </c>
      <c r="H125" s="13">
        <f t="shared" si="62"/>
        <v>0</v>
      </c>
      <c r="I125" s="13">
        <f t="shared" si="62"/>
        <v>177000</v>
      </c>
      <c r="J125" s="13">
        <f t="shared" si="62"/>
        <v>182000</v>
      </c>
      <c r="K125" s="14">
        <f t="shared" si="62"/>
        <v>188000</v>
      </c>
      <c r="M125" s="14">
        <f t="shared" si="61"/>
        <v>547000</v>
      </c>
    </row>
    <row r="126" spans="1:13" ht="15">
      <c r="A126" s="41"/>
      <c r="B126" s="41"/>
      <c r="C126" s="9" t="s">
        <v>106</v>
      </c>
      <c r="D126" s="10">
        <f>SUM(D124:D125)</f>
        <v>477950</v>
      </c>
      <c r="E126" s="10">
        <f aca="true" t="shared" si="63" ref="E126:K126">SUM(E124:E125)</f>
        <v>223500</v>
      </c>
      <c r="F126" s="10">
        <f t="shared" si="63"/>
        <v>223500</v>
      </c>
      <c r="G126" s="10">
        <f t="shared" si="63"/>
        <v>172000</v>
      </c>
      <c r="H126" s="10">
        <f t="shared" si="63"/>
        <v>172000</v>
      </c>
      <c r="I126" s="10">
        <f t="shared" si="63"/>
        <v>177000</v>
      </c>
      <c r="J126" s="10">
        <f t="shared" si="63"/>
        <v>182000</v>
      </c>
      <c r="K126" s="11">
        <f t="shared" si="63"/>
        <v>188000</v>
      </c>
      <c r="M126" s="11">
        <f t="shared" si="61"/>
        <v>1815950</v>
      </c>
    </row>
    <row r="127" spans="1:13" ht="30" customHeight="1">
      <c r="A127" s="41" t="s">
        <v>107</v>
      </c>
      <c r="B127" s="41"/>
      <c r="C127" s="22"/>
      <c r="D127" s="27"/>
      <c r="E127" s="27"/>
      <c r="F127" s="27"/>
      <c r="G127" s="27"/>
      <c r="H127" s="27"/>
      <c r="I127" s="27"/>
      <c r="J127" s="28"/>
      <c r="K127" s="28"/>
      <c r="M127" s="28"/>
    </row>
    <row r="128" spans="1:13" ht="15">
      <c r="A128" s="41"/>
      <c r="B128" s="41"/>
      <c r="C128" s="22" t="s">
        <v>90</v>
      </c>
      <c r="D128" s="13">
        <f>'[1]Calculation of Needs'!D45</f>
        <v>150000</v>
      </c>
      <c r="E128" s="13">
        <f>'[1]Calculation of Needs'!E45</f>
        <v>156450</v>
      </c>
      <c r="F128" s="13">
        <f>'[1]Calculation of Needs'!F45</f>
        <v>163177</v>
      </c>
      <c r="G128" s="13">
        <f>'[1]Calculation of Needs'!G45</f>
        <v>170194</v>
      </c>
      <c r="H128" s="13">
        <f>'[1]Calculation of Needs'!H45</f>
        <v>177512</v>
      </c>
      <c r="I128" s="13">
        <f>'[1]Calculation of Needs'!I45</f>
        <v>0</v>
      </c>
      <c r="J128" s="13">
        <f>'[1]Calculation of Needs'!J45</f>
        <v>0</v>
      </c>
      <c r="K128" s="14">
        <f>'[1]Calculation of Needs'!K45</f>
        <v>0</v>
      </c>
      <c r="M128" s="14">
        <f aca="true" t="shared" si="64" ref="M128:M130">SUM(D128:L128)</f>
        <v>817333</v>
      </c>
    </row>
    <row r="129" spans="1:13" ht="15">
      <c r="A129" s="41"/>
      <c r="B129" s="41"/>
      <c r="C129" s="72" t="s">
        <v>91</v>
      </c>
      <c r="D129" s="13">
        <f aca="true" t="shared" si="65" ref="D129:K129">D29</f>
        <v>0</v>
      </c>
      <c r="E129" s="13">
        <f t="shared" si="65"/>
        <v>0</v>
      </c>
      <c r="F129" s="13">
        <f t="shared" si="65"/>
        <v>0</v>
      </c>
      <c r="G129" s="13">
        <f t="shared" si="65"/>
        <v>0</v>
      </c>
      <c r="H129" s="13">
        <f t="shared" si="65"/>
        <v>0</v>
      </c>
      <c r="I129" s="13">
        <f t="shared" si="65"/>
        <v>183000</v>
      </c>
      <c r="J129" s="13">
        <f t="shared" si="65"/>
        <v>188000</v>
      </c>
      <c r="K129" s="14">
        <f t="shared" si="65"/>
        <v>194000</v>
      </c>
      <c r="M129" s="14">
        <f t="shared" si="64"/>
        <v>565000</v>
      </c>
    </row>
    <row r="130" spans="1:13" ht="15">
      <c r="A130" s="41"/>
      <c r="B130" s="41"/>
      <c r="C130" s="9" t="s">
        <v>108</v>
      </c>
      <c r="D130" s="10">
        <f>SUM(D128:D129)</f>
        <v>150000</v>
      </c>
      <c r="E130" s="10">
        <f aca="true" t="shared" si="66" ref="E130:K130">SUM(E128:E129)</f>
        <v>156450</v>
      </c>
      <c r="F130" s="10">
        <f t="shared" si="66"/>
        <v>163177</v>
      </c>
      <c r="G130" s="10">
        <f t="shared" si="66"/>
        <v>170194</v>
      </c>
      <c r="H130" s="10">
        <f t="shared" si="66"/>
        <v>177512</v>
      </c>
      <c r="I130" s="10">
        <f t="shared" si="66"/>
        <v>183000</v>
      </c>
      <c r="J130" s="10">
        <f t="shared" si="66"/>
        <v>188000</v>
      </c>
      <c r="K130" s="11">
        <f t="shared" si="66"/>
        <v>194000</v>
      </c>
      <c r="M130" s="11">
        <f t="shared" si="64"/>
        <v>1382333</v>
      </c>
    </row>
    <row r="131" spans="1:13" ht="30" customHeight="1">
      <c r="A131" s="41" t="s">
        <v>109</v>
      </c>
      <c r="B131" s="41"/>
      <c r="C131" s="22"/>
      <c r="D131" s="27"/>
      <c r="E131" s="27"/>
      <c r="F131" s="27"/>
      <c r="G131" s="27"/>
      <c r="H131" s="27"/>
      <c r="I131" s="27"/>
      <c r="J131" s="28"/>
      <c r="K131" s="28"/>
      <c r="M131" s="28"/>
    </row>
    <row r="132" spans="1:13" ht="15">
      <c r="A132" s="41"/>
      <c r="B132" s="41"/>
      <c r="C132" s="22" t="s">
        <v>90</v>
      </c>
      <c r="D132" s="13">
        <f>'[1]Calculation of Needs'!D49</f>
        <v>505000</v>
      </c>
      <c r="E132" s="13">
        <f>'[1]Calculation of Needs'!E49</f>
        <v>680000</v>
      </c>
      <c r="F132" s="13">
        <f>'[1]Calculation of Needs'!F49</f>
        <v>400000</v>
      </c>
      <c r="G132" s="13">
        <f>'[1]Calculation of Needs'!G49</f>
        <v>400000</v>
      </c>
      <c r="H132" s="13">
        <f>'[1]Calculation of Needs'!H49</f>
        <v>400000</v>
      </c>
      <c r="I132" s="13">
        <f>'[1]Calculation of Needs'!I49</f>
        <v>0</v>
      </c>
      <c r="J132" s="13">
        <f>'[1]Calculation of Needs'!J49</f>
        <v>0</v>
      </c>
      <c r="K132" s="14">
        <f>'[1]Calculation of Needs'!K49</f>
        <v>0</v>
      </c>
      <c r="M132" s="14">
        <f aca="true" t="shared" si="67" ref="M132:M134">SUM(D132:L132)</f>
        <v>2385000</v>
      </c>
    </row>
    <row r="133" spans="1:13" ht="15">
      <c r="A133" s="41"/>
      <c r="B133" s="41"/>
      <c r="C133" s="72" t="s">
        <v>91</v>
      </c>
      <c r="D133" s="13">
        <f aca="true" t="shared" si="68" ref="D133:K133">D30</f>
        <v>0</v>
      </c>
      <c r="E133" s="13">
        <f t="shared" si="68"/>
        <v>0</v>
      </c>
      <c r="F133" s="13">
        <f t="shared" si="68"/>
        <v>0</v>
      </c>
      <c r="G133" s="13">
        <f t="shared" si="68"/>
        <v>0</v>
      </c>
      <c r="H133" s="13">
        <f t="shared" si="68"/>
        <v>12000</v>
      </c>
      <c r="I133" s="13">
        <f t="shared" si="68"/>
        <v>424000</v>
      </c>
      <c r="J133" s="13">
        <f t="shared" si="68"/>
        <v>437000</v>
      </c>
      <c r="K133" s="14">
        <f t="shared" si="68"/>
        <v>450000</v>
      </c>
      <c r="M133" s="14">
        <f t="shared" si="67"/>
        <v>1323000</v>
      </c>
    </row>
    <row r="134" spans="1:13" ht="15">
      <c r="A134" s="41"/>
      <c r="B134" s="41"/>
      <c r="C134" s="9" t="s">
        <v>110</v>
      </c>
      <c r="D134" s="10">
        <f>SUM(D132:D133)</f>
        <v>505000</v>
      </c>
      <c r="E134" s="10">
        <f aca="true" t="shared" si="69" ref="E134:K134">SUM(E132:E133)</f>
        <v>680000</v>
      </c>
      <c r="F134" s="10">
        <f t="shared" si="69"/>
        <v>400000</v>
      </c>
      <c r="G134" s="10">
        <f t="shared" si="69"/>
        <v>400000</v>
      </c>
      <c r="H134" s="10">
        <f t="shared" si="69"/>
        <v>412000</v>
      </c>
      <c r="I134" s="10">
        <f t="shared" si="69"/>
        <v>424000</v>
      </c>
      <c r="J134" s="10">
        <f t="shared" si="69"/>
        <v>437000</v>
      </c>
      <c r="K134" s="11">
        <f t="shared" si="69"/>
        <v>450000</v>
      </c>
      <c r="M134" s="11">
        <f t="shared" si="67"/>
        <v>3708000</v>
      </c>
    </row>
    <row r="135" spans="1:13" ht="30" customHeight="1">
      <c r="A135" s="41" t="s">
        <v>111</v>
      </c>
      <c r="B135" s="41"/>
      <c r="C135" s="22"/>
      <c r="D135" s="27"/>
      <c r="E135" s="27"/>
      <c r="F135" s="27"/>
      <c r="G135" s="27"/>
      <c r="H135" s="27"/>
      <c r="I135" s="27"/>
      <c r="J135" s="28"/>
      <c r="K135" s="28"/>
      <c r="M135" s="28"/>
    </row>
    <row r="136" spans="3:13" ht="15">
      <c r="C136" s="22" t="s">
        <v>90</v>
      </c>
      <c r="D136" s="13">
        <v>730000</v>
      </c>
      <c r="E136" s="13">
        <v>1040000</v>
      </c>
      <c r="F136" s="13">
        <v>910000</v>
      </c>
      <c r="G136" s="13">
        <v>0</v>
      </c>
      <c r="H136" s="13">
        <v>0</v>
      </c>
      <c r="I136" s="13"/>
      <c r="J136" s="14"/>
      <c r="K136" s="14"/>
      <c r="M136" s="14">
        <f aca="true" t="shared" si="70" ref="M136:M138">SUM(D136:L136)</f>
        <v>2680000</v>
      </c>
    </row>
    <row r="137" spans="3:13" ht="15">
      <c r="C137" s="72" t="s">
        <v>91</v>
      </c>
      <c r="D137" s="73">
        <f aca="true" t="shared" si="71" ref="D137:K137">+D31</f>
        <v>76000</v>
      </c>
      <c r="E137" s="73">
        <f t="shared" si="71"/>
        <v>111000</v>
      </c>
      <c r="F137" s="73">
        <f t="shared" si="71"/>
        <v>130000</v>
      </c>
      <c r="G137" s="73">
        <f t="shared" si="71"/>
        <v>173000</v>
      </c>
      <c r="H137" s="73">
        <f t="shared" si="71"/>
        <v>203000</v>
      </c>
      <c r="I137" s="73">
        <f t="shared" si="71"/>
        <v>696000</v>
      </c>
      <c r="J137" s="74">
        <f t="shared" si="71"/>
        <v>787000</v>
      </c>
      <c r="K137" s="74">
        <f t="shared" si="71"/>
        <v>738000</v>
      </c>
      <c r="M137" s="74">
        <f t="shared" si="70"/>
        <v>2914000</v>
      </c>
    </row>
    <row r="138" spans="3:13" ht="15">
      <c r="C138" s="9" t="s">
        <v>112</v>
      </c>
      <c r="D138" s="10">
        <f aca="true" t="shared" si="72" ref="D138:K138">SUM(D136:D137)</f>
        <v>806000</v>
      </c>
      <c r="E138" s="10">
        <f t="shared" si="72"/>
        <v>1151000</v>
      </c>
      <c r="F138" s="10">
        <f t="shared" si="72"/>
        <v>1040000</v>
      </c>
      <c r="G138" s="10">
        <f t="shared" si="72"/>
        <v>173000</v>
      </c>
      <c r="H138" s="10">
        <f t="shared" si="72"/>
        <v>203000</v>
      </c>
      <c r="I138" s="10">
        <f t="shared" si="72"/>
        <v>696000</v>
      </c>
      <c r="J138" s="11">
        <f t="shared" si="72"/>
        <v>787000</v>
      </c>
      <c r="K138" s="11">
        <f t="shared" si="72"/>
        <v>738000</v>
      </c>
      <c r="M138" s="11">
        <f t="shared" si="70"/>
        <v>5594000</v>
      </c>
    </row>
    <row r="139" spans="3:13" ht="15">
      <c r="C139" s="32"/>
      <c r="D139" s="75"/>
      <c r="E139" s="75"/>
      <c r="F139" s="75"/>
      <c r="G139" s="75"/>
      <c r="H139" s="75"/>
      <c r="I139" s="75"/>
      <c r="J139" s="76"/>
      <c r="K139" s="76"/>
      <c r="M139" s="76"/>
    </row>
  </sheetData>
  <mergeCells count="2">
    <mergeCell ref="N3:N5"/>
    <mergeCell ref="N76:O76"/>
  </mergeCells>
  <printOptions/>
  <pageMargins left="0.45" right="0.45" top="0.5" bottom="0.5" header="0.3" footer="0.3"/>
  <pageSetup horizontalDpi="600" verticalDpi="600" orientation="landscape" paperSize="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134E17CF3FC4C8B4717B75FC761A1" ma:contentTypeVersion="9" ma:contentTypeDescription="Create a new document." ma:contentTypeScope="" ma:versionID="03dd6a97cc9ff65b35a22ffb514b5365">
  <xsd:schema xmlns:xsd="http://www.w3.org/2001/XMLSchema" xmlns:xs="http://www.w3.org/2001/XMLSchema" xmlns:p="http://schemas.microsoft.com/office/2006/metadata/properties" xmlns:ns2="d1806187-2d32-4aee-b545-9f316ad08b11" xmlns:ns3="f7dd35b5-0b1d-43de-bbac-1ab824685182" targetNamespace="http://schemas.microsoft.com/office/2006/metadata/properties" ma:root="true" ma:fieldsID="3ab74f3880b40afb1ae47b4c9d835b2f" ns2:_="" ns3:_="">
    <xsd:import namespace="d1806187-2d32-4aee-b545-9f316ad08b11"/>
    <xsd:import namespace="f7dd35b5-0b1d-43de-bbac-1ab824685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06187-2d32-4aee-b545-9f316ad08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F61AC2-95D2-49BF-901D-32D226632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06187-2d32-4aee-b545-9f316ad08b11"/>
    <ds:schemaRef ds:uri="f7dd35b5-0b1d-43de-bbac-1ab824685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BE1559-AB5F-4FA7-9D2E-C827A4614C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366F5-8EBD-4B8B-B869-6B6FA4D0D6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Kirk, Daniel</dc:creator>
  <cp:keywords/>
  <dc:description/>
  <cp:lastModifiedBy>Daly, Sharon</cp:lastModifiedBy>
  <cp:lastPrinted>2021-06-17T16:24:20Z</cp:lastPrinted>
  <dcterms:created xsi:type="dcterms:W3CDTF">2021-05-22T00:12:49Z</dcterms:created>
  <dcterms:modified xsi:type="dcterms:W3CDTF">2021-06-17T16:24:27Z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0x0101001C8134E17CF3FC4C8B4717B75FC761A1</vt:lpwstr>
  </property>
</Properties>
</file>