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-Revenues\old\D-Property Tax\2021 Levy\Ordinances\"/>
    </mc:Choice>
  </mc:AlternateContent>
  <bookViews>
    <workbookView xWindow="360" yWindow="135" windowWidth="18210" windowHeight="10545"/>
  </bookViews>
  <sheets>
    <sheet name="TY 2021" sheetId="11" r:id="rId1"/>
    <sheet name="TY 2020" sheetId="12" r:id="rId2"/>
    <sheet name="TY 2019" sheetId="9" r:id="rId3"/>
    <sheet name="TY 2018" sheetId="10" r:id="rId4"/>
    <sheet name="TY 2017" sheetId="7" r:id="rId5"/>
    <sheet name="TY 2016" sheetId="6" r:id="rId6"/>
    <sheet name="TY 2015" sheetId="5" r:id="rId7"/>
    <sheet name="TY 2014" sheetId="4" r:id="rId8"/>
    <sheet name="TY 2013" sheetId="1" r:id="rId9"/>
  </sheets>
  <calcPr calcId="152511"/>
</workbook>
</file>

<file path=xl/calcChain.xml><?xml version="1.0" encoding="utf-8"?>
<calcChain xmlns="http://schemas.openxmlformats.org/spreadsheetml/2006/main">
  <c r="E8" i="11" l="1"/>
  <c r="B12" i="11" l="1"/>
  <c r="C7" i="11"/>
  <c r="F7" i="11" s="1"/>
  <c r="G7" i="11" s="1"/>
  <c r="B3" i="11"/>
  <c r="C3" i="11"/>
  <c r="B42" i="12"/>
  <c r="B40" i="12"/>
  <c r="B45" i="12" s="1"/>
  <c r="E12" i="12" s="1"/>
  <c r="B30" i="12"/>
  <c r="B31" i="12" s="1"/>
  <c r="B12" i="12" s="1"/>
  <c r="C12" i="12" s="1"/>
  <c r="F12" i="12" s="1"/>
  <c r="G12" i="12" s="1"/>
  <c r="D29" i="12"/>
  <c r="C29" i="12"/>
  <c r="E29" i="12" s="1"/>
  <c r="C28" i="12"/>
  <c r="E28" i="12" s="1"/>
  <c r="D27" i="12"/>
  <c r="D30" i="12" s="1"/>
  <c r="C27" i="12"/>
  <c r="E27" i="12" s="1"/>
  <c r="D26" i="12"/>
  <c r="C26" i="12"/>
  <c r="E26" i="12" s="1"/>
  <c r="C25" i="12"/>
  <c r="E25" i="12" s="1"/>
  <c r="C24" i="12"/>
  <c r="E24" i="12" s="1"/>
  <c r="B23" i="12"/>
  <c r="C23" i="12" s="1"/>
  <c r="D17" i="12"/>
  <c r="F17" i="12" s="1"/>
  <c r="G17" i="12" s="1"/>
  <c r="B17" i="12"/>
  <c r="C17" i="12" s="1"/>
  <c r="D16" i="12"/>
  <c r="F16" i="12" s="1"/>
  <c r="G16" i="12" s="1"/>
  <c r="B16" i="12"/>
  <c r="D15" i="12"/>
  <c r="B15" i="12"/>
  <c r="C15" i="12" s="1"/>
  <c r="F15" i="12" s="1"/>
  <c r="G15" i="12" s="1"/>
  <c r="D14" i="12"/>
  <c r="B14" i="12"/>
  <c r="C14" i="12" s="1"/>
  <c r="F14" i="12" s="1"/>
  <c r="G14" i="12" s="1"/>
  <c r="D13" i="12"/>
  <c r="B13" i="12"/>
  <c r="C13" i="12" s="1"/>
  <c r="F13" i="12" s="1"/>
  <c r="G13" i="12" s="1"/>
  <c r="D12" i="12"/>
  <c r="D11" i="12"/>
  <c r="F8" i="12"/>
  <c r="G8" i="12" s="1"/>
  <c r="C8" i="12"/>
  <c r="F7" i="12"/>
  <c r="G7" i="12" s="1"/>
  <c r="F6" i="12"/>
  <c r="G6" i="12" s="1"/>
  <c r="C6" i="12"/>
  <c r="C5" i="12"/>
  <c r="F5" i="12" s="1"/>
  <c r="G5" i="12" s="1"/>
  <c r="C4" i="12"/>
  <c r="F4" i="12" s="1"/>
  <c r="G4" i="12" s="1"/>
  <c r="G3" i="12"/>
  <c r="F3" i="12"/>
  <c r="E23" i="12" l="1"/>
  <c r="E30" i="12" s="1"/>
  <c r="C30" i="12"/>
  <c r="D27" i="11" l="1"/>
  <c r="D17" i="11" l="1"/>
  <c r="D16" i="11"/>
  <c r="D15" i="11"/>
  <c r="D14" i="11"/>
  <c r="D13" i="11"/>
  <c r="D12" i="11"/>
  <c r="B17" i="11"/>
  <c r="B16" i="11"/>
  <c r="B15" i="11"/>
  <c r="B14" i="11"/>
  <c r="B13" i="11"/>
  <c r="B45" i="11" l="1"/>
  <c r="E3" i="11" s="1"/>
  <c r="D26" i="11"/>
  <c r="C24" i="11"/>
  <c r="E24" i="11" s="1"/>
  <c r="C13" i="11" l="1"/>
  <c r="C14" i="11"/>
  <c r="C15" i="11"/>
  <c r="C17" i="11"/>
  <c r="D29" i="11"/>
  <c r="C29" i="11"/>
  <c r="E29" i="11" s="1"/>
  <c r="C28" i="11"/>
  <c r="E28" i="11" s="1"/>
  <c r="C27" i="11"/>
  <c r="E27" i="11" s="1"/>
  <c r="C26" i="11"/>
  <c r="E26" i="11" s="1"/>
  <c r="C25" i="11"/>
  <c r="E25" i="11" s="1"/>
  <c r="B30" i="11"/>
  <c r="C12" i="11" s="1"/>
  <c r="D11" i="11"/>
  <c r="F8" i="11"/>
  <c r="G8" i="11" s="1"/>
  <c r="C8" i="11"/>
  <c r="C6" i="11"/>
  <c r="F6" i="11" s="1"/>
  <c r="G6" i="11" s="1"/>
  <c r="C5" i="11"/>
  <c r="F5" i="11" s="1"/>
  <c r="G5" i="11" s="1"/>
  <c r="C4" i="11"/>
  <c r="F4" i="11" s="1"/>
  <c r="G4" i="11" s="1"/>
  <c r="F3" i="11"/>
  <c r="G3" i="11" s="1"/>
  <c r="D30" i="11" l="1"/>
  <c r="C23" i="11"/>
  <c r="E24" i="9"/>
  <c r="C30" i="11" l="1"/>
  <c r="E23" i="11"/>
  <c r="E30" i="11" s="1"/>
  <c r="E17" i="9"/>
  <c r="D17" i="9"/>
  <c r="B17" i="9"/>
  <c r="D16" i="9"/>
  <c r="B16" i="9"/>
  <c r="D15" i="9"/>
  <c r="B15" i="9"/>
  <c r="D14" i="9"/>
  <c r="B14" i="9"/>
  <c r="F13" i="9"/>
  <c r="D13" i="9"/>
  <c r="B13" i="9"/>
  <c r="D12" i="9" l="1"/>
  <c r="C12" i="9"/>
  <c r="C3" i="9"/>
  <c r="B12" i="9" l="1"/>
  <c r="D26" i="9" l="1"/>
  <c r="E26" i="9" s="1"/>
  <c r="D27" i="9"/>
  <c r="D9" i="9" l="1"/>
  <c r="F4" i="9" l="1"/>
  <c r="B23" i="9" l="1"/>
  <c r="B30" i="9"/>
  <c r="B3" i="9"/>
  <c r="B31" i="9"/>
  <c r="C26" i="9"/>
  <c r="D29" i="10"/>
  <c r="C29" i="10"/>
  <c r="E29" i="10" s="1"/>
  <c r="C28" i="10"/>
  <c r="E28" i="10" s="1"/>
  <c r="D27" i="10"/>
  <c r="C27" i="10"/>
  <c r="E27" i="10" s="1"/>
  <c r="E26" i="10"/>
  <c r="C25" i="10"/>
  <c r="E25" i="10" s="1"/>
  <c r="D24" i="10"/>
  <c r="D30" i="10" s="1"/>
  <c r="C24" i="10"/>
  <c r="E24" i="10" s="1"/>
  <c r="B23" i="10"/>
  <c r="C23" i="10" s="1"/>
  <c r="F17" i="10"/>
  <c r="G17" i="10" s="1"/>
  <c r="C17" i="10"/>
  <c r="C16" i="10"/>
  <c r="F16" i="10" s="1"/>
  <c r="G16" i="10" s="1"/>
  <c r="D15" i="10"/>
  <c r="C15" i="10"/>
  <c r="F15" i="10" s="1"/>
  <c r="G15" i="10" s="1"/>
  <c r="C14" i="10"/>
  <c r="F14" i="10" s="1"/>
  <c r="G14" i="10" s="1"/>
  <c r="E13" i="10"/>
  <c r="F13" i="10" s="1"/>
  <c r="G13" i="10" s="1"/>
  <c r="C13" i="10"/>
  <c r="D12" i="10"/>
  <c r="D9" i="10"/>
  <c r="F8" i="10"/>
  <c r="G8" i="10" s="1"/>
  <c r="C8" i="10"/>
  <c r="F7" i="10"/>
  <c r="G7" i="10" s="1"/>
  <c r="C7" i="10"/>
  <c r="C6" i="10"/>
  <c r="F6" i="10" s="1"/>
  <c r="G6" i="10" s="1"/>
  <c r="F5" i="10"/>
  <c r="G5" i="10" s="1"/>
  <c r="C5" i="10"/>
  <c r="F4" i="10"/>
  <c r="G4" i="10" s="1"/>
  <c r="C4" i="10"/>
  <c r="F3" i="10"/>
  <c r="G3" i="10" s="1"/>
  <c r="B3" i="10"/>
  <c r="B12" i="10" s="1"/>
  <c r="C12" i="10" l="1"/>
  <c r="F12" i="10" s="1"/>
  <c r="G12" i="10" s="1"/>
  <c r="C30" i="10"/>
  <c r="E23" i="10"/>
  <c r="E30" i="10" s="1"/>
  <c r="B30" i="10"/>
  <c r="B31" i="10" s="1"/>
  <c r="D11" i="9" l="1"/>
  <c r="D29" i="9" l="1"/>
  <c r="C29" i="9"/>
  <c r="E29" i="9" s="1"/>
  <c r="C28" i="9"/>
  <c r="E28" i="9" s="1"/>
  <c r="C27" i="9"/>
  <c r="E27" i="9" s="1"/>
  <c r="C25" i="9"/>
  <c r="E25" i="9" s="1"/>
  <c r="D30" i="9"/>
  <c r="F17" i="9"/>
  <c r="G17" i="9" s="1"/>
  <c r="C17" i="9"/>
  <c r="C16" i="9"/>
  <c r="F16" i="9" s="1"/>
  <c r="G16" i="9" s="1"/>
  <c r="C15" i="9"/>
  <c r="F15" i="9" s="1"/>
  <c r="G15" i="9" s="1"/>
  <c r="C14" i="9"/>
  <c r="F14" i="9" s="1"/>
  <c r="G14" i="9" s="1"/>
  <c r="G13" i="9"/>
  <c r="C13" i="9"/>
  <c r="F8" i="9"/>
  <c r="G8" i="9" s="1"/>
  <c r="C8" i="9"/>
  <c r="C7" i="9"/>
  <c r="F7" i="9" s="1"/>
  <c r="G7" i="9" s="1"/>
  <c r="C6" i="9"/>
  <c r="F6" i="9" s="1"/>
  <c r="G6" i="9" s="1"/>
  <c r="C5" i="9"/>
  <c r="F5" i="9" s="1"/>
  <c r="G5" i="9" s="1"/>
  <c r="G4" i="9"/>
  <c r="C4" i="9"/>
  <c r="F3" i="9"/>
  <c r="G3" i="9" s="1"/>
  <c r="F12" i="9" l="1"/>
  <c r="G12" i="9" s="1"/>
  <c r="C23" i="9"/>
  <c r="C30" i="9" l="1"/>
  <c r="E23" i="9"/>
  <c r="E30" i="9" s="1"/>
  <c r="D28" i="7" l="1"/>
  <c r="F5" i="7"/>
  <c r="B22" i="7" l="1"/>
  <c r="E23" i="7" l="1"/>
  <c r="D29" i="7"/>
  <c r="D26" i="7"/>
  <c r="D25" i="7"/>
  <c r="D23" i="7"/>
  <c r="B29" i="7"/>
  <c r="B3" i="7" s="1"/>
  <c r="C28" i="7"/>
  <c r="E28" i="7" s="1"/>
  <c r="C27" i="7"/>
  <c r="E27" i="7" s="1"/>
  <c r="C26" i="7"/>
  <c r="E26" i="7" s="1"/>
  <c r="C25" i="7"/>
  <c r="E25" i="7" s="1"/>
  <c r="C24" i="7"/>
  <c r="E24" i="7" s="1"/>
  <c r="C23" i="7"/>
  <c r="C22" i="7"/>
  <c r="C29" i="7" s="1"/>
  <c r="C3" i="7" l="1"/>
  <c r="E22" i="7"/>
  <c r="E29" i="7" s="1"/>
  <c r="C16" i="7"/>
  <c r="F16" i="7" s="1"/>
  <c r="G16" i="7" s="1"/>
  <c r="C15" i="7"/>
  <c r="F15" i="7" s="1"/>
  <c r="G15" i="7" s="1"/>
  <c r="F14" i="7"/>
  <c r="G14" i="7" s="1"/>
  <c r="C14" i="7"/>
  <c r="C13" i="7"/>
  <c r="F13" i="7" s="1"/>
  <c r="G13" i="7" s="1"/>
  <c r="C12" i="7"/>
  <c r="F12" i="7" s="1"/>
  <c r="G12" i="7" s="1"/>
  <c r="F8" i="7"/>
  <c r="G8" i="7" s="1"/>
  <c r="C8" i="7"/>
  <c r="C7" i="7"/>
  <c r="F7" i="7" s="1"/>
  <c r="G7" i="7" s="1"/>
  <c r="C6" i="7"/>
  <c r="F6" i="7" s="1"/>
  <c r="G6" i="7" s="1"/>
  <c r="C5" i="7"/>
  <c r="G5" i="7" s="1"/>
  <c r="C4" i="7"/>
  <c r="F4" i="7" s="1"/>
  <c r="G4" i="7" s="1"/>
  <c r="F3" i="7"/>
  <c r="G3" i="7" s="1"/>
  <c r="F8" i="6" l="1"/>
  <c r="G8" i="6" s="1"/>
  <c r="C8" i="6"/>
  <c r="C3" i="6" l="1"/>
  <c r="E3" i="6"/>
  <c r="C16" i="6" l="1"/>
  <c r="F16" i="6" s="1"/>
  <c r="G16" i="6" s="1"/>
  <c r="C15" i="6" l="1"/>
  <c r="F14" i="6"/>
  <c r="G14" i="6" s="1"/>
  <c r="C14" i="6"/>
  <c r="C13" i="6"/>
  <c r="C12" i="6"/>
  <c r="C7" i="6"/>
  <c r="F7" i="6" s="1"/>
  <c r="G7" i="6" s="1"/>
  <c r="C6" i="6"/>
  <c r="F6" i="6" s="1"/>
  <c r="G6" i="6" s="1"/>
  <c r="F5" i="6"/>
  <c r="G5" i="6" s="1"/>
  <c r="C5" i="6"/>
  <c r="C4" i="6"/>
  <c r="F4" i="6" s="1"/>
  <c r="G4" i="6" s="1"/>
  <c r="F3" i="6"/>
  <c r="G3" i="6" s="1"/>
  <c r="F13" i="6" l="1"/>
  <c r="G13" i="6" s="1"/>
  <c r="F12" i="6"/>
  <c r="G12" i="6" s="1"/>
  <c r="F15" i="6"/>
  <c r="G15" i="6" s="1"/>
  <c r="C11" i="5"/>
  <c r="C3" i="5"/>
  <c r="D15" i="5" l="1"/>
  <c r="D14" i="5"/>
  <c r="D13" i="5"/>
  <c r="F13" i="5" s="1"/>
  <c r="G13" i="5" s="1"/>
  <c r="D12" i="5"/>
  <c r="D11" i="5"/>
  <c r="C15" i="5"/>
  <c r="F15" i="5" s="1"/>
  <c r="G15" i="5" s="1"/>
  <c r="C7" i="5"/>
  <c r="F7" i="5" s="1"/>
  <c r="G7" i="5" s="1"/>
  <c r="C14" i="5"/>
  <c r="F14" i="5" s="1"/>
  <c r="G14" i="5" s="1"/>
  <c r="C13" i="5"/>
  <c r="C12" i="5"/>
  <c r="F12" i="5" s="1"/>
  <c r="G12" i="5" s="1"/>
  <c r="C6" i="5"/>
  <c r="F6" i="5" s="1"/>
  <c r="G6" i="5" s="1"/>
  <c r="F5" i="5"/>
  <c r="G5" i="5" s="1"/>
  <c r="C5" i="5"/>
  <c r="C4" i="5"/>
  <c r="F4" i="5" s="1"/>
  <c r="G4" i="5" s="1"/>
  <c r="F3" i="5"/>
  <c r="G3" i="5" s="1"/>
  <c r="F11" i="5" l="1"/>
  <c r="G11" i="5" s="1"/>
  <c r="F16" i="4" l="1"/>
  <c r="G16" i="4" s="1"/>
  <c r="F13" i="4" l="1"/>
  <c r="F12" i="4" l="1"/>
  <c r="C15" i="4"/>
  <c r="F15" i="4" s="1"/>
  <c r="G15" i="4" s="1"/>
  <c r="F14" i="4"/>
  <c r="C14" i="4"/>
  <c r="G13" i="4"/>
  <c r="C13" i="4"/>
  <c r="C12" i="4"/>
  <c r="G12" i="4" s="1"/>
  <c r="G14" i="4" l="1"/>
  <c r="F7" i="1"/>
  <c r="G7" i="1" s="1"/>
  <c r="C7" i="1"/>
  <c r="C6" i="1"/>
  <c r="F6" i="1" s="1"/>
  <c r="G6" i="1" s="1"/>
  <c r="F5" i="1"/>
  <c r="G5" i="1" s="1"/>
  <c r="C5" i="1"/>
  <c r="F4" i="1"/>
  <c r="G4" i="1" s="1"/>
  <c r="C4" i="1"/>
  <c r="F3" i="1"/>
  <c r="G3" i="1" s="1"/>
  <c r="E3" i="1"/>
  <c r="D3" i="1"/>
  <c r="C3" i="1"/>
  <c r="C6" i="4"/>
  <c r="F6" i="4" s="1"/>
  <c r="G6" i="4" s="1"/>
  <c r="F5" i="4"/>
  <c r="F21" i="4" s="1"/>
  <c r="C5" i="4"/>
  <c r="F4" i="4"/>
  <c r="F20" i="4" s="1"/>
  <c r="C4" i="4"/>
  <c r="C3" i="4"/>
  <c r="F3" i="4" s="1"/>
  <c r="G3" i="4" s="1"/>
  <c r="G5" i="4" l="1"/>
  <c r="G4" i="4"/>
</calcChain>
</file>

<file path=xl/comments1.xml><?xml version="1.0" encoding="utf-8"?>
<comments xmlns="http://schemas.openxmlformats.org/spreadsheetml/2006/main">
  <authors>
    <author>Administrator</author>
    <author>Reich, David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Hazel G. adjustments email (2-21-19)</t>
        </r>
      </text>
    </comment>
    <comment ref="B3" authorId="1" shapeId="0">
      <text>
        <r>
          <rPr>
            <b/>
            <sz val="9"/>
            <color indexed="81"/>
            <rFont val="Tahoma"/>
            <charset val="1"/>
          </rPr>
          <t>Reich, David:</t>
        </r>
        <r>
          <rPr>
            <sz val="9"/>
            <color indexed="81"/>
            <rFont val="Tahoma"/>
            <charset val="1"/>
          </rPr>
          <t xml:space="preserve">
subtracts out the ICRI 
levy. </t>
        </r>
      </text>
    </comment>
    <comment ref="E8" authorId="1" shapeId="0">
      <text>
        <r>
          <rPr>
            <b/>
            <sz val="9"/>
            <color indexed="81"/>
            <rFont val="Tahoma"/>
            <charset val="1"/>
          </rPr>
          <t>Reich, David:</t>
        </r>
        <r>
          <rPr>
            <sz val="9"/>
            <color indexed="81"/>
            <rFont val="Tahoma"/>
            <charset val="1"/>
          </rPr>
          <t xml:space="preserve">
Removed NC per 2020 method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Reich, David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Hazel G. adjustments email (2-21-19)</t>
        </r>
      </text>
    </comment>
    <comment ref="B3" authorId="1" shapeId="0">
      <text>
        <r>
          <rPr>
            <b/>
            <sz val="9"/>
            <color indexed="81"/>
            <rFont val="Tahoma"/>
            <charset val="1"/>
          </rPr>
          <t>Reich, David:</t>
        </r>
        <r>
          <rPr>
            <sz val="9"/>
            <color indexed="81"/>
            <rFont val="Tahoma"/>
            <charset val="1"/>
          </rPr>
          <t xml:space="preserve">
subtracts out the Parks
levy. </t>
        </r>
      </text>
    </comment>
    <comment ref="C3" authorId="1" shapeId="0">
      <text>
        <r>
          <rPr>
            <b/>
            <sz val="9"/>
            <color indexed="81"/>
            <rFont val="Tahoma"/>
            <charset val="1"/>
          </rPr>
          <t>Reich, David:</t>
        </r>
        <r>
          <rPr>
            <sz val="9"/>
            <color indexed="81"/>
            <rFont val="Tahoma"/>
            <charset val="1"/>
          </rPr>
          <t xml:space="preserve">
Adds in the New Parks levy forecast for 2020</t>
        </r>
      </text>
    </comment>
    <comment ref="E3" authorId="1" shapeId="0">
      <text>
        <r>
          <rPr>
            <b/>
            <sz val="9"/>
            <color indexed="81"/>
            <rFont val="Tahoma"/>
            <charset val="1"/>
          </rPr>
          <t>Reich, David:</t>
        </r>
        <r>
          <rPr>
            <sz val="9"/>
            <color indexed="81"/>
            <rFont val="Tahoma"/>
            <charset val="1"/>
          </rPr>
          <t xml:space="preserve">
Includes the new Parks levy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</commentList>
</comments>
</file>

<file path=xl/comments3.xml><?xml version="1.0" encoding="utf-8"?>
<comments xmlns="http://schemas.openxmlformats.org/spreadsheetml/2006/main">
  <authors>
    <author>Administrator</author>
    <author>Reich, David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levy ordinance (No. 18644)</t>
        </r>
      </text>
    </comment>
    <comment ref="B3" authorId="1" shapeId="0">
      <text>
        <r>
          <rPr>
            <b/>
            <sz val="9"/>
            <color indexed="81"/>
            <rFont val="Tahoma"/>
            <charset val="1"/>
          </rPr>
          <t>Reich, David:</t>
        </r>
        <r>
          <rPr>
            <sz val="9"/>
            <color indexed="81"/>
            <rFont val="Tahoma"/>
            <charset val="1"/>
          </rPr>
          <t xml:space="preserve">
subtracts out $22,346,764 for the AFIS levy. </t>
        </r>
      </text>
    </comment>
    <comment ref="C3" authorId="1" shapeId="0">
      <text>
        <r>
          <rPr>
            <b/>
            <sz val="9"/>
            <color indexed="81"/>
            <rFont val="Tahoma"/>
            <charset val="1"/>
          </rPr>
          <t>Reich, David:</t>
        </r>
        <r>
          <rPr>
            <sz val="9"/>
            <color indexed="81"/>
            <rFont val="Tahoma"/>
            <charset val="1"/>
          </rPr>
          <t xml:space="preserve">
Adds in the New AFIS forecast for 2019</t>
        </r>
      </text>
    </comment>
    <comment ref="E3" authorId="1" shapeId="0">
      <text>
        <r>
          <rPr>
            <b/>
            <sz val="9"/>
            <color indexed="81"/>
            <rFont val="Tahoma"/>
            <charset val="1"/>
          </rPr>
          <t>Reich, David:</t>
        </r>
        <r>
          <rPr>
            <sz val="9"/>
            <color indexed="81"/>
            <rFont val="Tahoma"/>
            <charset val="1"/>
          </rPr>
          <t xml:space="preserve">
Includes the new AFIS levy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B23" authorId="1" shapeId="0">
      <text>
        <r>
          <rPr>
            <b/>
            <sz val="9"/>
            <color indexed="81"/>
            <rFont val="Tahoma"/>
            <charset val="1"/>
          </rPr>
          <t>Reich, David:</t>
        </r>
        <r>
          <rPr>
            <sz val="9"/>
            <color indexed="81"/>
            <rFont val="Tahoma"/>
            <charset val="1"/>
          </rPr>
          <t xml:space="preserve">
adjusts the base by $55K</t>
        </r>
      </text>
    </comment>
  </commentList>
</comments>
</file>

<file path=xl/comments4.xml><?xml version="1.0" encoding="utf-8"?>
<comments xmlns="http://schemas.openxmlformats.org/spreadsheetml/2006/main">
  <authors>
    <author>Administrator</author>
    <author>Reich, David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levy ordinance (No. 18448)</t>
        </r>
      </text>
    </comment>
    <comment ref="B3" authorId="1" shapeId="0">
      <text>
        <r>
          <rPr>
            <b/>
            <sz val="9"/>
            <color indexed="81"/>
            <rFont val="Tahoma"/>
            <charset val="1"/>
          </rPr>
          <t>Reich, David:</t>
        </r>
        <r>
          <rPr>
            <sz val="9"/>
            <color indexed="81"/>
            <rFont val="Tahoma"/>
            <charset val="1"/>
          </rPr>
          <t xml:space="preserve">
subtracts out $18,624,329 for the vet's levy. </t>
        </r>
      </text>
    </comment>
    <comment ref="C3" authorId="1" shapeId="0">
      <text>
        <r>
          <rPr>
            <b/>
            <sz val="9"/>
            <color indexed="81"/>
            <rFont val="Tahoma"/>
            <charset val="1"/>
          </rPr>
          <t>Reich, David:</t>
        </r>
        <r>
          <rPr>
            <sz val="9"/>
            <color indexed="81"/>
            <rFont val="Tahoma"/>
            <charset val="1"/>
          </rPr>
          <t xml:space="preserve">
subtracts out the old Vets levy and adds the new one</t>
        </r>
      </text>
    </comment>
    <comment ref="E3" authorId="1" shapeId="0">
      <text>
        <r>
          <rPr>
            <b/>
            <sz val="9"/>
            <color indexed="81"/>
            <rFont val="Tahoma"/>
            <charset val="1"/>
          </rPr>
          <t>Reich, David:</t>
        </r>
        <r>
          <rPr>
            <sz val="9"/>
            <color indexed="81"/>
            <rFont val="Tahoma"/>
            <charset val="1"/>
          </rPr>
          <t xml:space="preserve">
Includes the proposed vet's levy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B23" authorId="1" shapeId="0">
      <text>
        <r>
          <rPr>
            <b/>
            <sz val="9"/>
            <color indexed="81"/>
            <rFont val="Tahoma"/>
            <charset val="1"/>
          </rPr>
          <t>Reich, David:</t>
        </r>
        <r>
          <rPr>
            <sz val="9"/>
            <color indexed="81"/>
            <rFont val="Tahoma"/>
            <charset val="1"/>
          </rPr>
          <t xml:space="preserve">
Adjusts the base by $248K
</t>
        </r>
      </text>
    </comment>
  </commentList>
</comments>
</file>

<file path=xl/comments5.xml><?xml version="1.0" encoding="utf-8"?>
<comments xmlns="http://schemas.openxmlformats.org/spreadsheetml/2006/main">
  <authors>
    <author>Administrator</author>
    <author>Reich, David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levy ordinance (No. 18231)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Reich, David:</t>
        </r>
        <r>
          <rPr>
            <sz val="9"/>
            <color indexed="81"/>
            <rFont val="Tahoma"/>
            <family val="2"/>
          </rPr>
          <t xml:space="preserve">
Inlcudes $2,485 to match Assessor's worksheet
</t>
        </r>
      </text>
    </comment>
  </commentList>
</comments>
</file>

<file path=xl/comments6.xml><?xml version="1.0" encoding="utf-8"?>
<comments xmlns="http://schemas.openxmlformats.org/spreadsheetml/2006/main">
  <authors>
    <author>Administrator</author>
    <author>Reich, David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levy ordinance (No. 17965)</t>
        </r>
      </text>
    </comment>
    <comment ref="C3" authorId="1" shapeId="0">
      <text>
        <r>
          <rPr>
            <b/>
            <sz val="9"/>
            <color indexed="81"/>
            <rFont val="Tahoma"/>
            <charset val="1"/>
          </rPr>
          <t>Reich, David:</t>
        </r>
        <r>
          <rPr>
            <sz val="9"/>
            <color indexed="81"/>
            <rFont val="Tahoma"/>
            <charset val="1"/>
          </rPr>
          <t xml:space="preserve">
Includes estimated $79K additional to account for higher lid lift limit factor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levy ordinance (No. 17744)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</commentList>
</comments>
</file>

<file path=xl/comments8.xml><?xml version="1.0" encoding="utf-8"?>
<comments xmlns="http://schemas.openxmlformats.org/spreadsheetml/2006/main">
  <authors>
    <author>Administrator</author>
    <author>Reich, David</author>
    <author>Hazel Gantz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levy ordinance (No. 17231)</t>
        </r>
      </text>
    </comment>
    <comment ref="B3" authorId="0" shape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Removes the 2013 levy amount for both Parks Levies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Removes both park levies
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updated to reflect DOA Preliminary worksheet11-13-12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updated to reflect DOA Preliminary worksheet11-13-12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updated to reflect DOA Preliminary worksheet11-13-12</t>
        </r>
      </text>
    </comment>
    <comment ref="B12" authorId="1" shapeId="0">
      <text>
        <r>
          <rPr>
            <b/>
            <sz val="9"/>
            <color indexed="81"/>
            <rFont val="Tahoma"/>
            <charset val="1"/>
          </rPr>
          <t>Reich, David:</t>
        </r>
        <r>
          <rPr>
            <sz val="9"/>
            <color indexed="81"/>
            <rFont val="Tahoma"/>
            <charset val="1"/>
          </rPr>
          <t xml:space="preserve">
From the levy worksheet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the levy worksheet</t>
        </r>
      </text>
    </comment>
    <comment ref="E12" authorId="2" shapeId="0">
      <text>
        <r>
          <rPr>
            <b/>
            <sz val="9"/>
            <color indexed="81"/>
            <rFont val="Tahoma"/>
            <family val="2"/>
          </rPr>
          <t>Hazel Gantz:</t>
        </r>
        <r>
          <rPr>
            <sz val="9"/>
            <color indexed="81"/>
            <rFont val="Tahoma"/>
            <family val="2"/>
          </rPr>
          <t xml:space="preserve">
Includes new Parks lidlift and LF for AFIS and CFSC</t>
        </r>
      </text>
    </comment>
    <comment ref="F12" authorId="2" shapeId="0">
      <text>
        <r>
          <rPr>
            <b/>
            <sz val="9"/>
            <color indexed="81"/>
            <rFont val="Tahoma"/>
            <family val="2"/>
          </rPr>
          <t>Hazel Gantz:</t>
        </r>
        <r>
          <rPr>
            <sz val="9"/>
            <color indexed="81"/>
            <rFont val="Tahoma"/>
            <family val="2"/>
          </rPr>
          <t xml:space="preserve">
Removes NC and refunds from 2014 forecast.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From levy ordinance (No. 17231)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Removing AFIS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Assessor forecast (11-13-12) plus YSC and AFIS levy amount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updated to reflect DOA Preliminary worksheet11-13-12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updated to reflect DOA Preliminary worksheet11-13-12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updated to reflect DOA Preliminary worksheet11-13-12</t>
        </r>
      </text>
    </comment>
  </commentList>
</comments>
</file>

<file path=xl/sharedStrings.xml><?xml version="1.0" encoding="utf-8"?>
<sst xmlns="http://schemas.openxmlformats.org/spreadsheetml/2006/main" count="469" uniqueCount="84">
  <si>
    <t>Regular Levy</t>
  </si>
  <si>
    <t>Title</t>
  </si>
  <si>
    <t>% diff</t>
  </si>
  <si>
    <t>Transit</t>
  </si>
  <si>
    <t>Roads</t>
  </si>
  <si>
    <t>CF</t>
  </si>
  <si>
    <t>EMS</t>
  </si>
  <si>
    <t>2012 Levy</t>
  </si>
  <si>
    <t>2013 Forecasted Levy</t>
  </si>
  <si>
    <t xml:space="preserve"> </t>
  </si>
  <si>
    <t>RCW 84.55 levy value</t>
  </si>
  <si>
    <t>101% of RCW 84.55 value</t>
  </si>
  <si>
    <t>Difference</t>
  </si>
  <si>
    <t>2013 Levy</t>
  </si>
  <si>
    <t>2014 Forecasted Levy</t>
  </si>
  <si>
    <t>Parks-NEW</t>
  </si>
  <si>
    <t>EMS-New</t>
  </si>
  <si>
    <t>N/A</t>
  </si>
  <si>
    <t>2014  Levy via Final WS</t>
  </si>
  <si>
    <t>Revised Calculations</t>
  </si>
  <si>
    <t>2014 levy</t>
  </si>
  <si>
    <t>September Draft Values</t>
  </si>
  <si>
    <t>2014 Levy</t>
  </si>
  <si>
    <t>2015 Forecasted Levy</t>
  </si>
  <si>
    <t xml:space="preserve">Limit Factor multiplied by RCW 84.55 value </t>
  </si>
  <si>
    <t>Revised Calculations (October)</t>
  </si>
  <si>
    <t>2015  Levy per Assessor's Preliminary Worksheet</t>
  </si>
  <si>
    <t>2015 levy</t>
  </si>
  <si>
    <t>2015 Levy</t>
  </si>
  <si>
    <t>2016  Levy per Assessor's Preliminary Worksheet</t>
  </si>
  <si>
    <t>2016 Forecasted Levy</t>
  </si>
  <si>
    <t>Revised Calculations (October/November)</t>
  </si>
  <si>
    <t>Ferry District</t>
  </si>
  <si>
    <t>2016 levy</t>
  </si>
  <si>
    <t>2017 Forecasted Levy</t>
  </si>
  <si>
    <t>CX</t>
  </si>
  <si>
    <t>2016 Base</t>
  </si>
  <si>
    <t>AFIS</t>
  </si>
  <si>
    <t>CFJC</t>
  </si>
  <si>
    <t>Vets</t>
  </si>
  <si>
    <t>Parks</t>
  </si>
  <si>
    <t>PSERN</t>
  </si>
  <si>
    <t>BSK</t>
  </si>
  <si>
    <t>Total</t>
  </si>
  <si>
    <t>Levy</t>
  </si>
  <si>
    <t>101% of base</t>
  </si>
  <si>
    <t>add'l Limit Factor</t>
  </si>
  <si>
    <t>Alternate Limit Factor Calculation (Regular Levy)</t>
  </si>
  <si>
    <t>Marine levy</t>
  </si>
  <si>
    <t>2017 levy</t>
  </si>
  <si>
    <t>2018 Forecasted Levy</t>
  </si>
  <si>
    <t>2017 Base</t>
  </si>
  <si>
    <t>Total less Vets</t>
  </si>
  <si>
    <t>add'l Limit Factor/increase</t>
  </si>
  <si>
    <t>Check (Ord 18448)</t>
  </si>
  <si>
    <t>Revised Calculations (November 2017)</t>
  </si>
  <si>
    <t>2018  Levy per Assessor's Preliminary Worksheet or Forecast</t>
  </si>
  <si>
    <t>Revised Calculations (November 2018)</t>
  </si>
  <si>
    <t>August Draft Values</t>
  </si>
  <si>
    <t>2018 levy</t>
  </si>
  <si>
    <t>Check (Ord 18644)</t>
  </si>
  <si>
    <t>2018 Base</t>
  </si>
  <si>
    <t>2019 Forecasted Levy</t>
  </si>
  <si>
    <t>Total less AFIS</t>
  </si>
  <si>
    <t>2019  Levy per Assessor's Preliminary Worksheet or Forecast</t>
  </si>
  <si>
    <t>Revised Calculations (November 2019)</t>
  </si>
  <si>
    <t>2019 levy</t>
  </si>
  <si>
    <t>2020 Forecasted Levy</t>
  </si>
  <si>
    <t>2019 Base</t>
  </si>
  <si>
    <t>Total less Parks</t>
  </si>
  <si>
    <t>EMS-NEW</t>
  </si>
  <si>
    <t>Forecast Year Total Calculation</t>
  </si>
  <si>
    <t>Current Expense</t>
  </si>
  <si>
    <t>DD/MH</t>
  </si>
  <si>
    <t>ICRI</t>
  </si>
  <si>
    <t>VS&amp;HS</t>
  </si>
  <si>
    <t>August 2019 Draft Values</t>
  </si>
  <si>
    <t>2020  Levy per Assessor's Preliminary Worksheet or Forecast</t>
  </si>
  <si>
    <t>Revised Calculations (November 2020)</t>
  </si>
  <si>
    <t>August 2020 Draft Values</t>
  </si>
  <si>
    <t>2020 levy</t>
  </si>
  <si>
    <t>2020 Base</t>
  </si>
  <si>
    <t>2021 Forecasted Levy</t>
  </si>
  <si>
    <t>2021  Levy per Assessor's Preliminary Worksheet or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</si>
</sst>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6" fillId="0" borderId="0" xfId="0" applyFont="1"/>
    <xf numFmtId="164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164" fontId="6" fillId="0" borderId="0" xfId="0" applyNumberFormat="1" applyFont="1"/>
    <xf numFmtId="0" fontId="8" fillId="0" borderId="0" xfId="0" applyFont="1"/>
    <xf numFmtId="164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/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10" fillId="0" borderId="1" xfId="0" applyFont="1" applyBorder="1"/>
    <xf numFmtId="164" fontId="10" fillId="0" borderId="1" xfId="0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164" fontId="1" fillId="0" borderId="0" xfId="0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64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0" fontId="0" fillId="4" borderId="0" xfId="0" applyFill="1"/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workbookViewId="0">
      <selection activeCell="I11" sqref="I11"/>
    </sheetView>
  </sheetViews>
  <sheetFormatPr defaultRowHeight="15" x14ac:dyDescent="0.25"/>
  <cols>
    <col min="1" max="1" width="19.140625" customWidth="1"/>
    <col min="2" max="7" width="20.7109375" style="1" customWidth="1"/>
  </cols>
  <sheetData>
    <row r="1" spans="1:7" x14ac:dyDescent="0.25">
      <c r="A1" s="19" t="s">
        <v>79</v>
      </c>
      <c r="B1" s="20"/>
      <c r="C1" s="20"/>
      <c r="D1" s="20"/>
      <c r="E1" s="20"/>
      <c r="F1" s="20"/>
      <c r="G1" s="20"/>
    </row>
    <row r="2" spans="1:7" s="6" customFormat="1" ht="45" x14ac:dyDescent="0.25">
      <c r="A2" s="21" t="s">
        <v>1</v>
      </c>
      <c r="B2" s="22" t="s">
        <v>10</v>
      </c>
      <c r="C2" s="22" t="s">
        <v>24</v>
      </c>
      <c r="D2" s="22" t="s">
        <v>80</v>
      </c>
      <c r="E2" s="22" t="s">
        <v>82</v>
      </c>
      <c r="F2" s="22" t="s">
        <v>12</v>
      </c>
      <c r="G2" s="22" t="s">
        <v>2</v>
      </c>
    </row>
    <row r="3" spans="1:7" x14ac:dyDescent="0.25">
      <c r="A3" s="23" t="s">
        <v>0</v>
      </c>
      <c r="B3" s="31">
        <f>719355572-50000</f>
        <v>719305572</v>
      </c>
      <c r="C3" s="31">
        <f>+E30</f>
        <v>731229995.69360995</v>
      </c>
      <c r="D3" s="31">
        <v>720776127</v>
      </c>
      <c r="E3" s="48">
        <f>+B45</f>
        <v>742025349.09940565</v>
      </c>
      <c r="F3" s="48">
        <f>+C3-D3</f>
        <v>10453868.693609953</v>
      </c>
      <c r="G3" s="49">
        <f t="shared" ref="G3:G8" si="0">+F3/D3</f>
        <v>1.4503627828408852E-2</v>
      </c>
    </row>
    <row r="4" spans="1:7" x14ac:dyDescent="0.25">
      <c r="A4" s="23" t="s">
        <v>3</v>
      </c>
      <c r="B4" s="31">
        <v>30126134</v>
      </c>
      <c r="C4" s="31">
        <f>1.01*B4</f>
        <v>30427395.34</v>
      </c>
      <c r="D4" s="31">
        <v>30184815</v>
      </c>
      <c r="E4" s="48">
        <v>30879327.579463426</v>
      </c>
      <c r="F4" s="48">
        <f>+C4-D4</f>
        <v>242580.33999999985</v>
      </c>
      <c r="G4" s="49">
        <f t="shared" si="0"/>
        <v>8.0365024599289361E-3</v>
      </c>
    </row>
    <row r="5" spans="1:7" x14ac:dyDescent="0.25">
      <c r="A5" s="23" t="s">
        <v>4</v>
      </c>
      <c r="B5" s="31">
        <v>92864520</v>
      </c>
      <c r="C5" s="31">
        <f>1.01*B5</f>
        <v>93793165.200000003</v>
      </c>
      <c r="D5" s="31">
        <v>92987997</v>
      </c>
      <c r="E5" s="48">
        <v>94532602.854910195</v>
      </c>
      <c r="F5" s="48">
        <f>+C5-D5</f>
        <v>805168.20000000298</v>
      </c>
      <c r="G5" s="49">
        <f t="shared" si="0"/>
        <v>8.6588401296567655E-3</v>
      </c>
    </row>
    <row r="6" spans="1:7" x14ac:dyDescent="0.25">
      <c r="A6" s="23" t="s">
        <v>5</v>
      </c>
      <c r="B6" s="31">
        <v>21250347</v>
      </c>
      <c r="C6" s="31">
        <f>1.01*B6</f>
        <v>21462850.469999999</v>
      </c>
      <c r="D6" s="31">
        <v>21297118</v>
      </c>
      <c r="E6" s="48">
        <v>21786311.457687788</v>
      </c>
      <c r="F6" s="48">
        <f>+C6-D6</f>
        <v>165732.46999999881</v>
      </c>
      <c r="G6" s="49">
        <f t="shared" si="0"/>
        <v>7.7819200701239859E-3</v>
      </c>
    </row>
    <row r="7" spans="1:7" x14ac:dyDescent="0.25">
      <c r="A7" s="23" t="s">
        <v>6</v>
      </c>
      <c r="B7" s="31">
        <v>169422245</v>
      </c>
      <c r="C7" s="31">
        <f>1.01*B7</f>
        <v>171116467.44999999</v>
      </c>
      <c r="D7" s="31">
        <v>169415530</v>
      </c>
      <c r="E7" s="48">
        <v>173223242</v>
      </c>
      <c r="F7" s="48">
        <f>+C7-D7</f>
        <v>1700937.4499999881</v>
      </c>
      <c r="G7" s="49">
        <f t="shared" ref="G7" si="1">+F7/D7</f>
        <v>1.0040032634552382E-2</v>
      </c>
    </row>
    <row r="8" spans="1:7" x14ac:dyDescent="0.25">
      <c r="A8" s="23" t="s">
        <v>48</v>
      </c>
      <c r="B8" s="31">
        <v>260274662</v>
      </c>
      <c r="C8" s="31">
        <f>1.01*B8</f>
        <v>262877408.62</v>
      </c>
      <c r="D8" s="31">
        <v>6290100</v>
      </c>
      <c r="E8" s="48">
        <f>6434638-81637</f>
        <v>6353001</v>
      </c>
      <c r="F8" s="48">
        <f>+E8-D8</f>
        <v>62901</v>
      </c>
      <c r="G8" s="49">
        <f t="shared" si="0"/>
        <v>0.01</v>
      </c>
    </row>
    <row r="9" spans="1:7" x14ac:dyDescent="0.25">
      <c r="A9" s="23" t="s">
        <v>9</v>
      </c>
      <c r="B9" s="26"/>
      <c r="C9" s="26"/>
      <c r="D9" s="24" t="s">
        <v>9</v>
      </c>
      <c r="E9" s="26"/>
      <c r="F9" s="26"/>
      <c r="G9" s="26"/>
    </row>
    <row r="10" spans="1:7" x14ac:dyDescent="0.25">
      <c r="A10" s="19" t="s">
        <v>78</v>
      </c>
      <c r="B10" s="27"/>
      <c r="C10" s="20"/>
      <c r="D10" s="20"/>
      <c r="E10" s="20"/>
      <c r="F10" s="20"/>
      <c r="G10" s="20"/>
    </row>
    <row r="11" spans="1:7" ht="75" x14ac:dyDescent="0.25">
      <c r="A11" s="28" t="s">
        <v>1</v>
      </c>
      <c r="B11" s="29" t="s">
        <v>10</v>
      </c>
      <c r="C11" s="22" t="s">
        <v>24</v>
      </c>
      <c r="D11" s="29" t="str">
        <f t="shared" ref="D11" si="2">+D2</f>
        <v>2020 levy</v>
      </c>
      <c r="E11" s="29" t="s">
        <v>83</v>
      </c>
      <c r="F11" s="29" t="s">
        <v>12</v>
      </c>
      <c r="G11" s="29" t="s">
        <v>2</v>
      </c>
    </row>
    <row r="12" spans="1:7" x14ac:dyDescent="0.25">
      <c r="A12" s="30" t="s">
        <v>0</v>
      </c>
      <c r="B12" s="31">
        <f>+B3</f>
        <v>719305572</v>
      </c>
      <c r="C12" s="31">
        <f>1.01*B12+D26+D27+D29</f>
        <v>731171387.4136101</v>
      </c>
      <c r="D12" s="31">
        <f>+D3</f>
        <v>720776127</v>
      </c>
      <c r="E12" s="48" t="s">
        <v>9</v>
      </c>
      <c r="F12" s="48" t="s">
        <v>9</v>
      </c>
      <c r="G12" s="49" t="s">
        <v>9</v>
      </c>
    </row>
    <row r="13" spans="1:7" s="34" customFormat="1" x14ac:dyDescent="0.25">
      <c r="A13" s="30" t="s">
        <v>3</v>
      </c>
      <c r="B13" s="31">
        <f>+B4</f>
        <v>30126134</v>
      </c>
      <c r="C13" s="31">
        <f t="shared" ref="C13:C17" si="3">1.01*B13</f>
        <v>30427395.34</v>
      </c>
      <c r="D13" s="31">
        <f t="shared" ref="D13:D17" si="4">+D4</f>
        <v>30184815</v>
      </c>
      <c r="E13" s="48" t="s">
        <v>9</v>
      </c>
      <c r="F13" s="48" t="s">
        <v>9</v>
      </c>
      <c r="G13" s="49" t="s">
        <v>9</v>
      </c>
    </row>
    <row r="14" spans="1:7" x14ac:dyDescent="0.25">
      <c r="A14" s="30" t="s">
        <v>4</v>
      </c>
      <c r="B14" s="31">
        <f t="shared" ref="B14:B17" si="5">+B5</f>
        <v>92864520</v>
      </c>
      <c r="C14" s="31">
        <f t="shared" si="3"/>
        <v>93793165.200000003</v>
      </c>
      <c r="D14" s="31">
        <f t="shared" si="4"/>
        <v>92987997</v>
      </c>
      <c r="E14" s="48" t="s">
        <v>9</v>
      </c>
      <c r="F14" s="48" t="s">
        <v>9</v>
      </c>
      <c r="G14" s="49" t="s">
        <v>9</v>
      </c>
    </row>
    <row r="15" spans="1:7" x14ac:dyDescent="0.25">
      <c r="A15" s="30" t="s">
        <v>5</v>
      </c>
      <c r="B15" s="31">
        <f t="shared" si="5"/>
        <v>21250347</v>
      </c>
      <c r="C15" s="31">
        <f t="shared" si="3"/>
        <v>21462850.469999999</v>
      </c>
      <c r="D15" s="31">
        <f t="shared" si="4"/>
        <v>21297118</v>
      </c>
      <c r="E15" s="48" t="s">
        <v>9</v>
      </c>
      <c r="F15" s="48" t="s">
        <v>9</v>
      </c>
      <c r="G15" s="49" t="s">
        <v>9</v>
      </c>
    </row>
    <row r="16" spans="1:7" x14ac:dyDescent="0.25">
      <c r="A16" s="30" t="s">
        <v>6</v>
      </c>
      <c r="B16" s="31">
        <f t="shared" si="5"/>
        <v>169422245</v>
      </c>
      <c r="C16" s="31" t="s">
        <v>17</v>
      </c>
      <c r="D16" s="31">
        <f t="shared" si="4"/>
        <v>169415530</v>
      </c>
      <c r="E16" s="48" t="s">
        <v>9</v>
      </c>
      <c r="F16" s="48" t="s">
        <v>9</v>
      </c>
      <c r="G16" s="49" t="s">
        <v>9</v>
      </c>
    </row>
    <row r="17" spans="1:7" x14ac:dyDescent="0.25">
      <c r="A17" s="30" t="s">
        <v>48</v>
      </c>
      <c r="B17" s="31">
        <f t="shared" si="5"/>
        <v>260274662</v>
      </c>
      <c r="C17" s="31">
        <f t="shared" si="3"/>
        <v>262877408.62</v>
      </c>
      <c r="D17" s="31">
        <f t="shared" si="4"/>
        <v>6290100</v>
      </c>
      <c r="E17" s="48" t="s">
        <v>9</v>
      </c>
      <c r="F17" s="48" t="s">
        <v>9</v>
      </c>
      <c r="G17" s="49" t="s">
        <v>9</v>
      </c>
    </row>
    <row r="18" spans="1:7" x14ac:dyDescent="0.25">
      <c r="A18" s="30" t="s">
        <v>9</v>
      </c>
      <c r="B18" s="31" t="s">
        <v>9</v>
      </c>
      <c r="C18" s="31" t="s">
        <v>9</v>
      </c>
      <c r="D18" s="31" t="s">
        <v>9</v>
      </c>
      <c r="E18" s="48" t="s">
        <v>9</v>
      </c>
      <c r="F18" s="48" t="s">
        <v>9</v>
      </c>
      <c r="G18" s="49" t="s">
        <v>9</v>
      </c>
    </row>
    <row r="19" spans="1:7" hidden="1" x14ac:dyDescent="0.25">
      <c r="A19" s="11" t="s">
        <v>15</v>
      </c>
      <c r="B19" s="9" t="s">
        <v>17</v>
      </c>
      <c r="C19" s="9" t="s">
        <v>17</v>
      </c>
      <c r="D19" s="9">
        <v>41283924</v>
      </c>
      <c r="E19" s="9">
        <v>63689234</v>
      </c>
      <c r="F19" s="9" t="s">
        <v>17</v>
      </c>
      <c r="G19" s="9" t="s">
        <v>17</v>
      </c>
    </row>
    <row r="21" spans="1:7" x14ac:dyDescent="0.25">
      <c r="A21" s="37" t="s">
        <v>47</v>
      </c>
      <c r="B21" s="36"/>
      <c r="C21" s="36"/>
      <c r="D21" s="36"/>
      <c r="E21" s="36"/>
      <c r="F21" s="40"/>
      <c r="G21" s="40"/>
    </row>
    <row r="22" spans="1:7" s="6" customFormat="1" ht="30" x14ac:dyDescent="0.25">
      <c r="A22" s="44" t="s">
        <v>44</v>
      </c>
      <c r="B22" s="45" t="s">
        <v>81</v>
      </c>
      <c r="C22" s="45" t="s">
        <v>45</v>
      </c>
      <c r="D22" s="45" t="s">
        <v>53</v>
      </c>
      <c r="E22" s="45" t="s">
        <v>43</v>
      </c>
      <c r="F22" s="46" t="s">
        <v>9</v>
      </c>
      <c r="G22" s="47"/>
    </row>
    <row r="23" spans="1:7" x14ac:dyDescent="0.25">
      <c r="A23" t="s">
        <v>35</v>
      </c>
      <c r="B23" s="41">
        <v>388823975</v>
      </c>
      <c r="C23" s="41">
        <f>+B23*1.01</f>
        <v>392712214.75</v>
      </c>
      <c r="D23" s="41">
        <v>0</v>
      </c>
      <c r="E23" s="41">
        <f>+C23+D23</f>
        <v>392712214.75</v>
      </c>
      <c r="F23" s="2" t="s">
        <v>9</v>
      </c>
    </row>
    <row r="24" spans="1:7" x14ac:dyDescent="0.25">
      <c r="A24" t="s">
        <v>37</v>
      </c>
      <c r="B24" s="41">
        <v>21767616</v>
      </c>
      <c r="C24" s="41">
        <f>+B24*1.01</f>
        <v>21985292.16</v>
      </c>
      <c r="D24" s="41">
        <v>0</v>
      </c>
      <c r="E24" s="41">
        <f>+C24+D24</f>
        <v>21985292.16</v>
      </c>
    </row>
    <row r="25" spans="1:7" x14ac:dyDescent="0.25">
      <c r="A25" t="s">
        <v>38</v>
      </c>
      <c r="B25" s="41">
        <v>26597559</v>
      </c>
      <c r="C25" s="41">
        <f t="shared" ref="C25:C29" si="6">+B25*1.01</f>
        <v>26863534.59</v>
      </c>
      <c r="D25" s="41">
        <v>0</v>
      </c>
      <c r="E25" s="41">
        <f t="shared" ref="E25:E29" si="7">+C25+D25</f>
        <v>26863534.59</v>
      </c>
    </row>
    <row r="26" spans="1:7" x14ac:dyDescent="0.25">
      <c r="A26" t="s">
        <v>39</v>
      </c>
      <c r="B26" s="41">
        <v>59386353</v>
      </c>
      <c r="C26" s="41">
        <f t="shared" si="6"/>
        <v>59980216.530000001</v>
      </c>
      <c r="D26" s="41">
        <f>0.025*B26</f>
        <v>1484658.8250000002</v>
      </c>
      <c r="E26" s="41">
        <f>+C26+D26</f>
        <v>61464875.355000004</v>
      </c>
    </row>
    <row r="27" spans="1:7" x14ac:dyDescent="0.25">
      <c r="A27" t="s">
        <v>40</v>
      </c>
      <c r="B27" s="41">
        <v>116827149</v>
      </c>
      <c r="C27" s="41">
        <f t="shared" si="6"/>
        <v>117995420.48999999</v>
      </c>
      <c r="D27" s="41">
        <f>+B27*0.01489</f>
        <v>1739556.2486100001</v>
      </c>
      <c r="E27" s="41">
        <f t="shared" si="7"/>
        <v>119734976.73861</v>
      </c>
    </row>
    <row r="28" spans="1:7" x14ac:dyDescent="0.25">
      <c r="A28" t="s">
        <v>41</v>
      </c>
      <c r="B28" s="41">
        <v>33533717</v>
      </c>
      <c r="C28" s="41">
        <f t="shared" si="6"/>
        <v>33869054.170000002</v>
      </c>
      <c r="D28" s="41">
        <v>0</v>
      </c>
      <c r="E28" s="41">
        <f t="shared" si="7"/>
        <v>33869054.170000002</v>
      </c>
    </row>
    <row r="29" spans="1:7" x14ac:dyDescent="0.25">
      <c r="A29" t="s">
        <v>42</v>
      </c>
      <c r="B29" s="41">
        <v>72427231</v>
      </c>
      <c r="C29" s="41">
        <f t="shared" si="6"/>
        <v>73151503.310000002</v>
      </c>
      <c r="D29" s="41">
        <f>0.02*B29</f>
        <v>1448544.62</v>
      </c>
      <c r="E29" s="41">
        <f t="shared" si="7"/>
        <v>74600047.930000007</v>
      </c>
    </row>
    <row r="30" spans="1:7" x14ac:dyDescent="0.25">
      <c r="A30" s="51" t="s">
        <v>43</v>
      </c>
      <c r="B30" s="43">
        <f>+SUM(B23:B29)</f>
        <v>719363600</v>
      </c>
      <c r="C30" s="43">
        <f>+SUM(C23:C29)</f>
        <v>726557236</v>
      </c>
      <c r="D30" s="43">
        <f>+SUM(D23:D29)</f>
        <v>4672759.6936100004</v>
      </c>
      <c r="E30" s="43">
        <f>+SUM(E23:E29)</f>
        <v>731229995.69360995</v>
      </c>
    </row>
    <row r="31" spans="1:7" x14ac:dyDescent="0.25">
      <c r="A31" t="s">
        <v>9</v>
      </c>
      <c r="B31" s="2" t="s">
        <v>9</v>
      </c>
    </row>
    <row r="34" spans="1:5" x14ac:dyDescent="0.25">
      <c r="A34" s="50" t="s">
        <v>71</v>
      </c>
      <c r="B34" s="36"/>
      <c r="C34" s="36"/>
      <c r="D34" s="36"/>
      <c r="E34" s="36"/>
    </row>
    <row r="35" spans="1:5" x14ac:dyDescent="0.25">
      <c r="A35" t="s">
        <v>72</v>
      </c>
      <c r="B35" s="2">
        <v>388601460</v>
      </c>
    </row>
    <row r="36" spans="1:5" x14ac:dyDescent="0.25">
      <c r="A36" t="s">
        <v>73</v>
      </c>
      <c r="B36" s="2">
        <v>7340789.9663490299</v>
      </c>
    </row>
    <row r="37" spans="1:5" x14ac:dyDescent="0.25">
      <c r="A37" t="s">
        <v>39</v>
      </c>
      <c r="B37" s="2">
        <v>3270890.0485837348</v>
      </c>
    </row>
    <row r="38" spans="1:5" x14ac:dyDescent="0.25">
      <c r="A38" t="s">
        <v>74</v>
      </c>
      <c r="B38" s="2">
        <v>0</v>
      </c>
    </row>
    <row r="39" spans="1:5" x14ac:dyDescent="0.25">
      <c r="A39" t="s">
        <v>37</v>
      </c>
      <c r="B39" s="2">
        <v>22267988.528775968</v>
      </c>
    </row>
    <row r="40" spans="1:5" x14ac:dyDescent="0.25">
      <c r="A40" t="s">
        <v>40</v>
      </c>
      <c r="B40" s="2">
        <v>121255883.36107746</v>
      </c>
      <c r="C40" s="1" t="s">
        <v>9</v>
      </c>
    </row>
    <row r="41" spans="1:5" x14ac:dyDescent="0.25">
      <c r="A41" t="s">
        <v>38</v>
      </c>
      <c r="B41" s="2">
        <v>27208590.148960136</v>
      </c>
      <c r="C41" s="1" t="s">
        <v>9</v>
      </c>
    </row>
    <row r="42" spans="1:5" x14ac:dyDescent="0.25">
      <c r="A42" t="s">
        <v>75</v>
      </c>
      <c r="B42" s="2">
        <v>62235646</v>
      </c>
      <c r="C42" s="1" t="s">
        <v>9</v>
      </c>
    </row>
    <row r="43" spans="1:5" x14ac:dyDescent="0.25">
      <c r="A43" t="s">
        <v>41</v>
      </c>
      <c r="B43" s="2">
        <v>34304336.536909752</v>
      </c>
      <c r="C43" s="1" t="s">
        <v>9</v>
      </c>
    </row>
    <row r="44" spans="1:5" x14ac:dyDescent="0.25">
      <c r="A44" t="s">
        <v>42</v>
      </c>
      <c r="B44" s="2">
        <v>75539764.508749574</v>
      </c>
    </row>
    <row r="45" spans="1:5" x14ac:dyDescent="0.25">
      <c r="A45" t="s">
        <v>43</v>
      </c>
      <c r="B45" s="2">
        <f>+SUM(B35:B44)</f>
        <v>742025349.09940565</v>
      </c>
    </row>
  </sheetData>
  <pageMargins left="0.7" right="0.7" top="0.75" bottom="0.75" header="0.3" footer="0.3"/>
  <pageSetup scale="6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workbookViewId="0">
      <selection activeCell="E17" sqref="E17"/>
    </sheetView>
  </sheetViews>
  <sheetFormatPr defaultRowHeight="15" x14ac:dyDescent="0.25"/>
  <cols>
    <col min="1" max="1" width="19.140625" customWidth="1"/>
    <col min="2" max="7" width="20.7109375" style="1" customWidth="1"/>
  </cols>
  <sheetData>
    <row r="1" spans="1:7" x14ac:dyDescent="0.25">
      <c r="A1" s="19" t="s">
        <v>76</v>
      </c>
      <c r="B1" s="20"/>
      <c r="C1" s="20"/>
      <c r="D1" s="20"/>
      <c r="E1" s="20"/>
      <c r="F1" s="20"/>
      <c r="G1" s="20"/>
    </row>
    <row r="2" spans="1:7" s="6" customFormat="1" ht="45" x14ac:dyDescent="0.25">
      <c r="A2" s="21" t="s">
        <v>1</v>
      </c>
      <c r="B2" s="22" t="s">
        <v>10</v>
      </c>
      <c r="C2" s="22" t="s">
        <v>24</v>
      </c>
      <c r="D2" s="22" t="s">
        <v>66</v>
      </c>
      <c r="E2" s="22" t="s">
        <v>67</v>
      </c>
      <c r="F2" s="22" t="s">
        <v>12</v>
      </c>
      <c r="G2" s="22" t="s">
        <v>2</v>
      </c>
    </row>
    <row r="3" spans="1:7" x14ac:dyDescent="0.25">
      <c r="A3" s="23" t="s">
        <v>0</v>
      </c>
      <c r="B3" s="31">
        <v>583260578</v>
      </c>
      <c r="C3" s="31">
        <v>707745315.33999991</v>
      </c>
      <c r="D3" s="31">
        <v>662640997</v>
      </c>
      <c r="E3" s="48">
        <v>720334503</v>
      </c>
      <c r="F3" s="48">
        <f>+C3-D3</f>
        <v>45104318.339999914</v>
      </c>
      <c r="G3" s="49">
        <f t="shared" ref="G3:G8" si="0">+F3/D3</f>
        <v>6.8067503435800716E-2</v>
      </c>
    </row>
    <row r="4" spans="1:7" x14ac:dyDescent="0.25">
      <c r="A4" s="23" t="s">
        <v>3</v>
      </c>
      <c r="B4" s="31">
        <v>29297880</v>
      </c>
      <c r="C4" s="31">
        <f>1.01*B4</f>
        <v>29590858.800000001</v>
      </c>
      <c r="D4" s="31">
        <v>29355710</v>
      </c>
      <c r="E4" s="48">
        <v>30233631</v>
      </c>
      <c r="F4" s="48">
        <f>+C4-D4</f>
        <v>235148.80000000075</v>
      </c>
      <c r="G4" s="49">
        <f t="shared" si="0"/>
        <v>8.0103257594519341E-3</v>
      </c>
    </row>
    <row r="5" spans="1:7" x14ac:dyDescent="0.25">
      <c r="A5" s="23" t="s">
        <v>4</v>
      </c>
      <c r="B5" s="31">
        <v>91095376</v>
      </c>
      <c r="C5" s="31">
        <f>1.01*B5</f>
        <v>92006329.760000005</v>
      </c>
      <c r="D5" s="31">
        <v>91211126</v>
      </c>
      <c r="E5" s="48">
        <v>92970641</v>
      </c>
      <c r="F5" s="48">
        <f>+C5-D5</f>
        <v>795203.76000000536</v>
      </c>
      <c r="G5" s="49">
        <f t="shared" si="0"/>
        <v>8.7182758822646859E-3</v>
      </c>
    </row>
    <row r="6" spans="1:7" x14ac:dyDescent="0.25">
      <c r="A6" s="23" t="s">
        <v>5</v>
      </c>
      <c r="B6" s="31">
        <v>20665963</v>
      </c>
      <c r="C6" s="31">
        <f>1.01*B6</f>
        <v>20872622.629999999</v>
      </c>
      <c r="D6" s="31">
        <v>20712946</v>
      </c>
      <c r="E6" s="48">
        <v>21340567</v>
      </c>
      <c r="F6" s="48">
        <f>+C6-D6</f>
        <v>159676.62999999896</v>
      </c>
      <c r="G6" s="49">
        <f t="shared" si="0"/>
        <v>7.7090255533905682E-3</v>
      </c>
    </row>
    <row r="7" spans="1:7" x14ac:dyDescent="0.25">
      <c r="A7" s="23" t="s">
        <v>70</v>
      </c>
      <c r="B7" s="31" t="s">
        <v>17</v>
      </c>
      <c r="C7" s="31" t="s">
        <v>17</v>
      </c>
      <c r="D7" s="31">
        <v>131539324</v>
      </c>
      <c r="E7" s="48">
        <v>168234312</v>
      </c>
      <c r="F7" s="48">
        <f>+E7-D7</f>
        <v>36694988</v>
      </c>
      <c r="G7" s="49">
        <f t="shared" si="0"/>
        <v>0.27896591592640391</v>
      </c>
    </row>
    <row r="8" spans="1:7" x14ac:dyDescent="0.25">
      <c r="A8" s="23" t="s">
        <v>48</v>
      </c>
      <c r="B8" s="31">
        <v>257587215</v>
      </c>
      <c r="C8" s="31">
        <f>1.01*B8</f>
        <v>260163087.15000001</v>
      </c>
      <c r="D8" s="31">
        <v>6117419</v>
      </c>
      <c r="E8" s="48">
        <v>6298536</v>
      </c>
      <c r="F8" s="48">
        <f>+E8-D8</f>
        <v>181117</v>
      </c>
      <c r="G8" s="49">
        <f t="shared" si="0"/>
        <v>2.9606767167656818E-2</v>
      </c>
    </row>
    <row r="9" spans="1:7" x14ac:dyDescent="0.25">
      <c r="A9" s="23" t="s">
        <v>9</v>
      </c>
      <c r="B9" s="26"/>
      <c r="C9" s="26"/>
      <c r="D9" s="24" t="s">
        <v>9</v>
      </c>
      <c r="E9" s="26"/>
      <c r="F9" s="26"/>
      <c r="G9" s="26"/>
    </row>
    <row r="10" spans="1:7" x14ac:dyDescent="0.25">
      <c r="A10" s="19" t="s">
        <v>65</v>
      </c>
      <c r="B10" s="27"/>
      <c r="C10" s="20"/>
      <c r="D10" s="20"/>
      <c r="E10" s="20"/>
      <c r="F10" s="20"/>
      <c r="G10" s="20"/>
    </row>
    <row r="11" spans="1:7" ht="75" x14ac:dyDescent="0.25">
      <c r="A11" s="28" t="s">
        <v>1</v>
      </c>
      <c r="B11" s="29" t="s">
        <v>10</v>
      </c>
      <c r="C11" s="22" t="s">
        <v>24</v>
      </c>
      <c r="D11" s="29" t="str">
        <f t="shared" ref="D11" si="1">+D2</f>
        <v>2019 levy</v>
      </c>
      <c r="E11" s="29" t="s">
        <v>77</v>
      </c>
      <c r="F11" s="29" t="s">
        <v>12</v>
      </c>
      <c r="G11" s="29" t="s">
        <v>2</v>
      </c>
    </row>
    <row r="12" spans="1:7" x14ac:dyDescent="0.25">
      <c r="A12" s="30" t="s">
        <v>0</v>
      </c>
      <c r="B12" s="31">
        <f>+B31</f>
        <v>583260578</v>
      </c>
      <c r="C12" s="31">
        <f>1.01*B12+D26+D27+D29</f>
        <v>708692749.33999991</v>
      </c>
      <c r="D12" s="31">
        <f>+D3</f>
        <v>662640997</v>
      </c>
      <c r="E12" s="48">
        <f>+B45</f>
        <v>720758064</v>
      </c>
      <c r="F12" s="48">
        <f>+C12-D12</f>
        <v>46051752.339999914</v>
      </c>
      <c r="G12" s="49">
        <f t="shared" ref="G12:G17" si="2">+F12/D12</f>
        <v>6.9497288197518381E-2</v>
      </c>
    </row>
    <row r="13" spans="1:7" s="34" customFormat="1" x14ac:dyDescent="0.25">
      <c r="A13" s="30" t="s">
        <v>3</v>
      </c>
      <c r="B13" s="31">
        <f>+B4</f>
        <v>29297880</v>
      </c>
      <c r="C13" s="31">
        <f t="shared" ref="C13:C17" si="3">1.01*B13</f>
        <v>29590858.800000001</v>
      </c>
      <c r="D13" s="31">
        <f t="shared" ref="D13:D17" si="4">+D4</f>
        <v>29355710</v>
      </c>
      <c r="E13" s="48">
        <v>30184815</v>
      </c>
      <c r="F13" s="48">
        <f>+C13-D13</f>
        <v>235148.80000000075</v>
      </c>
      <c r="G13" s="49">
        <f t="shared" si="2"/>
        <v>8.0103257594519341E-3</v>
      </c>
    </row>
    <row r="14" spans="1:7" x14ac:dyDescent="0.25">
      <c r="A14" s="30" t="s">
        <v>4</v>
      </c>
      <c r="B14" s="31">
        <f t="shared" ref="B14:B17" si="5">+B5</f>
        <v>91095376</v>
      </c>
      <c r="C14" s="31">
        <f t="shared" si="3"/>
        <v>92006329.760000005</v>
      </c>
      <c r="D14" s="31">
        <f t="shared" si="4"/>
        <v>91211126</v>
      </c>
      <c r="E14" s="48">
        <v>92987997</v>
      </c>
      <c r="F14" s="48">
        <f>+C14-D14</f>
        <v>795203.76000000536</v>
      </c>
      <c r="G14" s="49">
        <f t="shared" si="2"/>
        <v>8.7182758822646859E-3</v>
      </c>
    </row>
    <row r="15" spans="1:7" x14ac:dyDescent="0.25">
      <c r="A15" s="30" t="s">
        <v>5</v>
      </c>
      <c r="B15" s="31">
        <f t="shared" si="5"/>
        <v>20665963</v>
      </c>
      <c r="C15" s="31">
        <f t="shared" si="3"/>
        <v>20872622.629999999</v>
      </c>
      <c r="D15" s="31">
        <f t="shared" si="4"/>
        <v>20712946</v>
      </c>
      <c r="E15" s="48">
        <v>21297118</v>
      </c>
      <c r="F15" s="48">
        <f>+C15-D15</f>
        <v>159676.62999999896</v>
      </c>
      <c r="G15" s="49">
        <f t="shared" si="2"/>
        <v>7.7090255533905682E-3</v>
      </c>
    </row>
    <row r="16" spans="1:7" x14ac:dyDescent="0.25">
      <c r="A16" s="30" t="s">
        <v>6</v>
      </c>
      <c r="B16" s="31" t="str">
        <f t="shared" si="5"/>
        <v>N/A</v>
      </c>
      <c r="C16" s="31" t="s">
        <v>17</v>
      </c>
      <c r="D16" s="31">
        <f t="shared" si="4"/>
        <v>131539324</v>
      </c>
      <c r="E16" s="48">
        <v>169468451</v>
      </c>
      <c r="F16" s="48">
        <f>+E16-D16</f>
        <v>37929127</v>
      </c>
      <c r="G16" s="49">
        <f t="shared" si="2"/>
        <v>0.28834819768421494</v>
      </c>
    </row>
    <row r="17" spans="1:7" x14ac:dyDescent="0.25">
      <c r="A17" s="30" t="s">
        <v>48</v>
      </c>
      <c r="B17" s="31">
        <f t="shared" si="5"/>
        <v>257587215</v>
      </c>
      <c r="C17" s="31">
        <f t="shared" si="3"/>
        <v>260163087.15000001</v>
      </c>
      <c r="D17" s="31">
        <f t="shared" si="4"/>
        <v>6117419</v>
      </c>
      <c r="E17" s="48">
        <v>6178593</v>
      </c>
      <c r="F17" s="48">
        <f>+E17-D17</f>
        <v>61174</v>
      </c>
      <c r="G17" s="49">
        <f t="shared" si="2"/>
        <v>9.9999689411498539E-3</v>
      </c>
    </row>
    <row r="18" spans="1:7" x14ac:dyDescent="0.25">
      <c r="A18" s="30" t="s">
        <v>9</v>
      </c>
      <c r="B18" s="31" t="s">
        <v>9</v>
      </c>
      <c r="C18" s="31" t="s">
        <v>9</v>
      </c>
      <c r="D18" s="31" t="s">
        <v>9</v>
      </c>
      <c r="E18" s="31" t="s">
        <v>9</v>
      </c>
      <c r="F18" s="24" t="s">
        <v>9</v>
      </c>
      <c r="G18" s="32" t="s">
        <v>9</v>
      </c>
    </row>
    <row r="19" spans="1:7" hidden="1" x14ac:dyDescent="0.25">
      <c r="A19" s="11" t="s">
        <v>15</v>
      </c>
      <c r="B19" s="9" t="s">
        <v>17</v>
      </c>
      <c r="C19" s="9" t="s">
        <v>17</v>
      </c>
      <c r="D19" s="9">
        <v>41283924</v>
      </c>
      <c r="E19" s="9">
        <v>63689234</v>
      </c>
      <c r="F19" s="9" t="s">
        <v>17</v>
      </c>
      <c r="G19" s="9" t="s">
        <v>17</v>
      </c>
    </row>
    <row r="21" spans="1:7" x14ac:dyDescent="0.25">
      <c r="A21" s="37" t="s">
        <v>47</v>
      </c>
      <c r="B21" s="36"/>
      <c r="C21" s="36"/>
      <c r="D21" s="36"/>
      <c r="E21" s="36"/>
      <c r="F21" s="40"/>
      <c r="G21" s="40"/>
    </row>
    <row r="22" spans="1:7" s="6" customFormat="1" ht="30" x14ac:dyDescent="0.25">
      <c r="A22" s="44" t="s">
        <v>44</v>
      </c>
      <c r="B22" s="45" t="s">
        <v>68</v>
      </c>
      <c r="C22" s="45" t="s">
        <v>45</v>
      </c>
      <c r="D22" s="45" t="s">
        <v>53</v>
      </c>
      <c r="E22" s="45" t="s">
        <v>43</v>
      </c>
      <c r="F22" s="46" t="s">
        <v>9</v>
      </c>
      <c r="G22" s="47"/>
    </row>
    <row r="23" spans="1:7" x14ac:dyDescent="0.25">
      <c r="A23" t="s">
        <v>35</v>
      </c>
      <c r="B23" s="41">
        <f>378172490</f>
        <v>378172490</v>
      </c>
      <c r="C23" s="41">
        <f>+B23*1.01</f>
        <v>381954214.89999998</v>
      </c>
      <c r="D23" s="41">
        <v>0</v>
      </c>
      <c r="E23" s="41">
        <f>+C23+D23</f>
        <v>381954214.89999998</v>
      </c>
      <c r="F23" s="2" t="s">
        <v>9</v>
      </c>
    </row>
    <row r="24" spans="1:7" x14ac:dyDescent="0.25">
      <c r="A24" t="s">
        <v>37</v>
      </c>
      <c r="B24" s="41">
        <v>21170033</v>
      </c>
      <c r="C24" s="41">
        <f>+B24*1.01</f>
        <v>21381733.330000002</v>
      </c>
      <c r="D24" s="41">
        <v>0</v>
      </c>
      <c r="E24" s="41">
        <f>+C24+D24</f>
        <v>21381733.330000002</v>
      </c>
    </row>
    <row r="25" spans="1:7" x14ac:dyDescent="0.25">
      <c r="A25" t="s">
        <v>38</v>
      </c>
      <c r="B25" s="41">
        <v>25867119</v>
      </c>
      <c r="C25" s="41">
        <f t="shared" ref="C25:C29" si="6">+B25*1.01</f>
        <v>26125790.190000001</v>
      </c>
      <c r="D25" s="41">
        <v>0</v>
      </c>
      <c r="E25" s="41">
        <f t="shared" ref="E25:E29" si="7">+C25+D25</f>
        <v>26125790.190000001</v>
      </c>
    </row>
    <row r="26" spans="1:7" x14ac:dyDescent="0.25">
      <c r="A26" t="s">
        <v>39</v>
      </c>
      <c r="B26" s="41">
        <v>56343720</v>
      </c>
      <c r="C26" s="41">
        <f t="shared" si="6"/>
        <v>56907157.200000003</v>
      </c>
      <c r="D26" s="41">
        <f>0.025*B26</f>
        <v>1408593</v>
      </c>
      <c r="E26" s="41">
        <f>+C26+D26</f>
        <v>58315750.200000003</v>
      </c>
    </row>
    <row r="27" spans="1:7" x14ac:dyDescent="0.25">
      <c r="A27" t="s">
        <v>40</v>
      </c>
      <c r="B27" s="41">
        <v>0</v>
      </c>
      <c r="C27" s="41">
        <f t="shared" si="6"/>
        <v>0</v>
      </c>
      <c r="D27" s="41">
        <f>+B40</f>
        <v>116809086</v>
      </c>
      <c r="E27" s="41">
        <f t="shared" si="7"/>
        <v>116809086</v>
      </c>
    </row>
    <row r="28" spans="1:7" x14ac:dyDescent="0.25">
      <c r="A28" t="s">
        <v>41</v>
      </c>
      <c r="B28" s="41">
        <v>32612888</v>
      </c>
      <c r="C28" s="41">
        <f t="shared" si="6"/>
        <v>32939016.879999999</v>
      </c>
      <c r="D28" s="41">
        <v>0</v>
      </c>
      <c r="E28" s="41">
        <f t="shared" si="7"/>
        <v>32939016.879999999</v>
      </c>
    </row>
    <row r="29" spans="1:7" x14ac:dyDescent="0.25">
      <c r="A29" t="s">
        <v>42</v>
      </c>
      <c r="B29" s="41">
        <v>69094328</v>
      </c>
      <c r="C29" s="41">
        <f t="shared" si="6"/>
        <v>69785271.280000001</v>
      </c>
      <c r="D29" s="41">
        <f>0.02*B29</f>
        <v>1381886.56</v>
      </c>
      <c r="E29" s="41">
        <f t="shared" si="7"/>
        <v>71167157.840000004</v>
      </c>
    </row>
    <row r="30" spans="1:7" x14ac:dyDescent="0.25">
      <c r="A30" s="17" t="s">
        <v>43</v>
      </c>
      <c r="B30" s="43">
        <f>+SUM(B23:B29)</f>
        <v>583260578</v>
      </c>
      <c r="C30" s="43">
        <f>+SUM(C23:C29)</f>
        <v>589093183.77999997</v>
      </c>
      <c r="D30" s="43">
        <f>+SUM(D23:D29)</f>
        <v>119599565.56</v>
      </c>
      <c r="E30" s="43">
        <f>+SUM(E23:E29)</f>
        <v>708692749.33999991</v>
      </c>
    </row>
    <row r="31" spans="1:7" x14ac:dyDescent="0.25">
      <c r="A31" t="s">
        <v>69</v>
      </c>
      <c r="B31" s="2">
        <f>+B30</f>
        <v>583260578</v>
      </c>
    </row>
    <row r="34" spans="1:5" x14ac:dyDescent="0.25">
      <c r="A34" s="50" t="s">
        <v>71</v>
      </c>
      <c r="B34" s="36"/>
      <c r="C34" s="36"/>
      <c r="D34" s="36"/>
      <c r="E34" s="36"/>
    </row>
    <row r="35" spans="1:5" x14ac:dyDescent="0.25">
      <c r="A35" t="s">
        <v>72</v>
      </c>
      <c r="B35" s="2">
        <v>379849948</v>
      </c>
    </row>
    <row r="36" spans="1:5" x14ac:dyDescent="0.25">
      <c r="A36" t="s">
        <v>73</v>
      </c>
      <c r="B36" s="2">
        <v>7175843</v>
      </c>
    </row>
    <row r="37" spans="1:5" x14ac:dyDescent="0.25">
      <c r="A37" t="s">
        <v>39</v>
      </c>
      <c r="B37" s="2">
        <v>3197394</v>
      </c>
    </row>
    <row r="38" spans="1:5" x14ac:dyDescent="0.25">
      <c r="A38" t="s">
        <v>74</v>
      </c>
      <c r="B38" s="2">
        <v>50000</v>
      </c>
    </row>
    <row r="39" spans="1:5" x14ac:dyDescent="0.25">
      <c r="A39" t="s">
        <v>37</v>
      </c>
      <c r="B39" s="2">
        <v>21767616</v>
      </c>
    </row>
    <row r="40" spans="1:5" x14ac:dyDescent="0.25">
      <c r="A40" t="s">
        <v>40</v>
      </c>
      <c r="B40" s="2">
        <f>116688429+120657</f>
        <v>116809086</v>
      </c>
    </row>
    <row r="41" spans="1:5" x14ac:dyDescent="0.25">
      <c r="A41" t="s">
        <v>38</v>
      </c>
      <c r="B41" s="2">
        <v>26597220</v>
      </c>
    </row>
    <row r="42" spans="1:5" x14ac:dyDescent="0.25">
      <c r="A42" t="s">
        <v>75</v>
      </c>
      <c r="B42" s="2">
        <f>59297893+53119</f>
        <v>59351012</v>
      </c>
    </row>
    <row r="43" spans="1:5" x14ac:dyDescent="0.25">
      <c r="A43" t="s">
        <v>41</v>
      </c>
      <c r="B43" s="2">
        <v>33533496</v>
      </c>
    </row>
    <row r="44" spans="1:5" x14ac:dyDescent="0.25">
      <c r="A44" t="s">
        <v>42</v>
      </c>
      <c r="B44" s="2">
        <v>72426449</v>
      </c>
    </row>
    <row r="45" spans="1:5" x14ac:dyDescent="0.25">
      <c r="A45" t="s">
        <v>43</v>
      </c>
      <c r="B45" s="2">
        <f>+SUM(B35:B44)</f>
        <v>720758064</v>
      </c>
    </row>
  </sheetData>
  <pageMargins left="0.7" right="0.7" top="0.75" bottom="0.75" header="0.3" footer="0.3"/>
  <pageSetup scale="6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B31" sqref="B31"/>
    </sheetView>
  </sheetViews>
  <sheetFormatPr defaultRowHeight="15" x14ac:dyDescent="0.25"/>
  <cols>
    <col min="1" max="1" width="19.140625" customWidth="1"/>
    <col min="2" max="7" width="20.7109375" style="1" customWidth="1"/>
  </cols>
  <sheetData>
    <row r="1" spans="1:7" x14ac:dyDescent="0.25">
      <c r="A1" s="19" t="s">
        <v>58</v>
      </c>
      <c r="B1" s="20"/>
      <c r="C1" s="20"/>
      <c r="D1" s="20"/>
      <c r="E1" s="20"/>
      <c r="F1" s="20"/>
      <c r="G1" s="20"/>
    </row>
    <row r="2" spans="1:7" s="6" customFormat="1" ht="45" x14ac:dyDescent="0.25">
      <c r="A2" s="21" t="s">
        <v>1</v>
      </c>
      <c r="B2" s="22" t="s">
        <v>10</v>
      </c>
      <c r="C2" s="22" t="s">
        <v>24</v>
      </c>
      <c r="D2" s="22" t="s">
        <v>59</v>
      </c>
      <c r="E2" s="22" t="s">
        <v>62</v>
      </c>
      <c r="F2" s="22" t="s">
        <v>12</v>
      </c>
      <c r="G2" s="22" t="s">
        <v>2</v>
      </c>
    </row>
    <row r="3" spans="1:7" x14ac:dyDescent="0.25">
      <c r="A3" s="23" t="s">
        <v>0</v>
      </c>
      <c r="B3" s="24">
        <f>638718762-22346764</f>
        <v>616371998</v>
      </c>
      <c r="C3" s="24">
        <f>1.01*B3+20839974+4130998</f>
        <v>647506689.98000002</v>
      </c>
      <c r="D3" s="24">
        <v>640041757</v>
      </c>
      <c r="E3" s="24">
        <v>660946264</v>
      </c>
      <c r="F3" s="24">
        <f>+C3-D3</f>
        <v>7464932.9800000191</v>
      </c>
      <c r="G3" s="25">
        <f t="shared" ref="G3:G8" si="0">+F3/D3</f>
        <v>1.166319681232926E-2</v>
      </c>
    </row>
    <row r="4" spans="1:7" x14ac:dyDescent="0.25">
      <c r="A4" s="23" t="s">
        <v>3</v>
      </c>
      <c r="B4" s="24">
        <v>28493208</v>
      </c>
      <c r="C4" s="24">
        <f>1.01*B4</f>
        <v>28778140.080000002</v>
      </c>
      <c r="D4" s="24">
        <v>23641990</v>
      </c>
      <c r="E4" s="24">
        <v>29336521</v>
      </c>
      <c r="F4" s="24">
        <f>+C4-D4</f>
        <v>5136150.0800000019</v>
      </c>
      <c r="G4" s="25">
        <f t="shared" si="0"/>
        <v>0.21724694410242124</v>
      </c>
    </row>
    <row r="5" spans="1:7" x14ac:dyDescent="0.25">
      <c r="A5" s="23" t="s">
        <v>4</v>
      </c>
      <c r="B5" s="24">
        <v>89206166</v>
      </c>
      <c r="C5" s="24">
        <f>1.01*B5</f>
        <v>90098227.659999996</v>
      </c>
      <c r="D5" s="24">
        <v>89353349</v>
      </c>
      <c r="E5" s="24">
        <v>91087919</v>
      </c>
      <c r="F5" s="24">
        <f>+C5-D5</f>
        <v>744878.65999999642</v>
      </c>
      <c r="G5" s="25">
        <f t="shared" si="0"/>
        <v>8.3363261515804685E-3</v>
      </c>
    </row>
    <row r="6" spans="1:7" x14ac:dyDescent="0.25">
      <c r="A6" s="23" t="s">
        <v>5</v>
      </c>
      <c r="B6" s="24">
        <v>20024559</v>
      </c>
      <c r="C6" s="24">
        <f>1.01*B6</f>
        <v>20224804.59</v>
      </c>
      <c r="D6" s="24">
        <v>20072804</v>
      </c>
      <c r="E6" s="24">
        <v>20685007</v>
      </c>
      <c r="F6" s="24">
        <f>+C6-D6</f>
        <v>152000.58999999985</v>
      </c>
      <c r="G6" s="25">
        <f t="shared" si="0"/>
        <v>7.5724642157617766E-3</v>
      </c>
    </row>
    <row r="7" spans="1:7" x14ac:dyDescent="0.25">
      <c r="A7" s="23" t="s">
        <v>6</v>
      </c>
      <c r="B7" s="24">
        <v>127190452</v>
      </c>
      <c r="C7" s="24">
        <f>1.01*B7</f>
        <v>128462356.52</v>
      </c>
      <c r="D7" s="24">
        <v>127489160</v>
      </c>
      <c r="E7" s="24">
        <v>131382129</v>
      </c>
      <c r="F7" s="24">
        <f>+C7-D7</f>
        <v>973196.51999999583</v>
      </c>
      <c r="G7" s="25">
        <f t="shared" si="0"/>
        <v>7.6335628848758262E-3</v>
      </c>
    </row>
    <row r="8" spans="1:7" x14ac:dyDescent="0.25">
      <c r="A8" s="23" t="s">
        <v>48</v>
      </c>
      <c r="B8" s="24">
        <v>257587215</v>
      </c>
      <c r="C8" s="24">
        <f>1.01*B8</f>
        <v>260163087.15000001</v>
      </c>
      <c r="D8" s="24">
        <v>5927796</v>
      </c>
      <c r="E8" s="24">
        <v>6105904</v>
      </c>
      <c r="F8" s="24">
        <f>+E8-D8</f>
        <v>178108</v>
      </c>
      <c r="G8" s="25">
        <f t="shared" si="0"/>
        <v>3.0046243156815786E-2</v>
      </c>
    </row>
    <row r="9" spans="1:7" x14ac:dyDescent="0.25">
      <c r="A9" s="23" t="s">
        <v>60</v>
      </c>
      <c r="B9" s="26"/>
      <c r="C9" s="26"/>
      <c r="D9" s="24">
        <f>+D3+D4+D6+D7+D8+17300000</f>
        <v>834473507</v>
      </c>
      <c r="E9" s="26"/>
      <c r="F9" s="26"/>
      <c r="G9" s="26"/>
    </row>
    <row r="10" spans="1:7" x14ac:dyDescent="0.25">
      <c r="A10" s="19" t="s">
        <v>57</v>
      </c>
      <c r="B10" s="27"/>
      <c r="C10" s="20"/>
      <c r="D10" s="20"/>
      <c r="E10" s="20"/>
      <c r="F10" s="20"/>
      <c r="G10" s="20"/>
    </row>
    <row r="11" spans="1:7" ht="75" x14ac:dyDescent="0.25">
      <c r="A11" s="28" t="s">
        <v>1</v>
      </c>
      <c r="B11" s="29" t="s">
        <v>10</v>
      </c>
      <c r="C11" s="22" t="s">
        <v>24</v>
      </c>
      <c r="D11" s="29" t="str">
        <f t="shared" ref="D11:D17" si="1">+D2</f>
        <v>2018 levy</v>
      </c>
      <c r="E11" s="29" t="s">
        <v>64</v>
      </c>
      <c r="F11" s="29" t="s">
        <v>12</v>
      </c>
      <c r="G11" s="29" t="s">
        <v>2</v>
      </c>
    </row>
    <row r="12" spans="1:7" x14ac:dyDescent="0.25">
      <c r="A12" s="30" t="s">
        <v>0</v>
      </c>
      <c r="B12" s="31">
        <f t="shared" ref="B12:B17" si="2">+B3</f>
        <v>616371998</v>
      </c>
      <c r="C12" s="31">
        <f>1.01*B12+E24+D30</f>
        <v>647751799.14231002</v>
      </c>
      <c r="D12" s="31">
        <f t="shared" si="1"/>
        <v>640041757</v>
      </c>
      <c r="E12" s="31">
        <v>662304336</v>
      </c>
      <c r="F12" s="24">
        <f>+C12-D12</f>
        <v>7710042.1423100233</v>
      </c>
      <c r="G12" s="32">
        <f t="shared" ref="G12:G17" si="3">+F12/D12</f>
        <v>1.2046154892219045E-2</v>
      </c>
    </row>
    <row r="13" spans="1:7" s="34" customFormat="1" x14ac:dyDescent="0.25">
      <c r="A13" s="30" t="s">
        <v>3</v>
      </c>
      <c r="B13" s="31">
        <f t="shared" si="2"/>
        <v>28493208</v>
      </c>
      <c r="C13" s="31">
        <f t="shared" ref="C13:C17" si="4">1.01*B13</f>
        <v>28778140.080000002</v>
      </c>
      <c r="D13" s="31">
        <f t="shared" si="1"/>
        <v>23641990</v>
      </c>
      <c r="E13" s="31">
        <v>29346080</v>
      </c>
      <c r="F13" s="24">
        <f>+C13-D13</f>
        <v>5136150.0800000019</v>
      </c>
      <c r="G13" s="32">
        <f t="shared" si="3"/>
        <v>0.21724694410242124</v>
      </c>
    </row>
    <row r="14" spans="1:7" x14ac:dyDescent="0.25">
      <c r="A14" s="30" t="s">
        <v>4</v>
      </c>
      <c r="B14" s="31">
        <f t="shared" si="2"/>
        <v>89206166</v>
      </c>
      <c r="C14" s="31">
        <f t="shared" si="4"/>
        <v>90098227.659999996</v>
      </c>
      <c r="D14" s="31">
        <f t="shared" si="1"/>
        <v>89353349</v>
      </c>
      <c r="E14" s="31">
        <v>91136601</v>
      </c>
      <c r="F14" s="24">
        <f>+C14-D14</f>
        <v>744878.65999999642</v>
      </c>
      <c r="G14" s="32">
        <f t="shared" si="3"/>
        <v>8.3363261515804685E-3</v>
      </c>
    </row>
    <row r="15" spans="1:7" x14ac:dyDescent="0.25">
      <c r="A15" s="30" t="s">
        <v>5</v>
      </c>
      <c r="B15" s="31">
        <f t="shared" si="2"/>
        <v>20024559</v>
      </c>
      <c r="C15" s="31">
        <f t="shared" si="4"/>
        <v>20224804.59</v>
      </c>
      <c r="D15" s="31">
        <f t="shared" si="1"/>
        <v>20072804</v>
      </c>
      <c r="E15" s="31">
        <v>20704772</v>
      </c>
      <c r="F15" s="31">
        <f>+C15-D15</f>
        <v>152000.58999999985</v>
      </c>
      <c r="G15" s="32">
        <f t="shared" si="3"/>
        <v>7.5724642157617766E-3</v>
      </c>
    </row>
    <row r="16" spans="1:7" x14ac:dyDescent="0.25">
      <c r="A16" s="30" t="s">
        <v>6</v>
      </c>
      <c r="B16" s="31">
        <f t="shared" si="2"/>
        <v>127190452</v>
      </c>
      <c r="C16" s="31">
        <f t="shared" si="4"/>
        <v>128462356.52</v>
      </c>
      <c r="D16" s="31">
        <f t="shared" si="1"/>
        <v>127489160</v>
      </c>
      <c r="E16" s="31">
        <v>131487411</v>
      </c>
      <c r="F16" s="24">
        <f>+C16-D16</f>
        <v>973196.51999999583</v>
      </c>
      <c r="G16" s="32">
        <f t="shared" si="3"/>
        <v>7.6335628848758262E-3</v>
      </c>
    </row>
    <row r="17" spans="1:7" x14ac:dyDescent="0.25">
      <c r="A17" s="30" t="s">
        <v>48</v>
      </c>
      <c r="B17" s="31">
        <f t="shared" si="2"/>
        <v>257587215</v>
      </c>
      <c r="C17" s="31">
        <f t="shared" si="4"/>
        <v>260163087.15000001</v>
      </c>
      <c r="D17" s="31">
        <f t="shared" si="1"/>
        <v>5927796</v>
      </c>
      <c r="E17" s="31">
        <f>+E8</f>
        <v>6105904</v>
      </c>
      <c r="F17" s="24">
        <f>+E17-D17</f>
        <v>178108</v>
      </c>
      <c r="G17" s="32">
        <f t="shared" si="3"/>
        <v>3.0046243156815786E-2</v>
      </c>
    </row>
    <row r="18" spans="1:7" x14ac:dyDescent="0.25">
      <c r="A18" s="30" t="s">
        <v>9</v>
      </c>
      <c r="B18" s="31" t="s">
        <v>9</v>
      </c>
      <c r="C18" s="31" t="s">
        <v>9</v>
      </c>
      <c r="D18" s="31" t="s">
        <v>9</v>
      </c>
      <c r="E18" s="31" t="s">
        <v>9</v>
      </c>
      <c r="F18" s="24" t="s">
        <v>9</v>
      </c>
      <c r="G18" s="32" t="s">
        <v>9</v>
      </c>
    </row>
    <row r="19" spans="1:7" hidden="1" x14ac:dyDescent="0.25">
      <c r="A19" s="11" t="s">
        <v>15</v>
      </c>
      <c r="B19" s="9" t="s">
        <v>17</v>
      </c>
      <c r="C19" s="9" t="s">
        <v>17</v>
      </c>
      <c r="D19" s="9">
        <v>41283924</v>
      </c>
      <c r="E19" s="9">
        <v>63689234</v>
      </c>
      <c r="F19" s="9" t="s">
        <v>17</v>
      </c>
      <c r="G19" s="9" t="s">
        <v>17</v>
      </c>
    </row>
    <row r="21" spans="1:7" x14ac:dyDescent="0.25">
      <c r="A21" s="37" t="s">
        <v>47</v>
      </c>
      <c r="B21" s="36"/>
      <c r="C21" s="36"/>
      <c r="D21" s="36"/>
      <c r="E21" s="36"/>
      <c r="F21" s="40"/>
      <c r="G21" s="40"/>
    </row>
    <row r="22" spans="1:7" s="6" customFormat="1" ht="30" x14ac:dyDescent="0.25">
      <c r="A22" s="44" t="s">
        <v>44</v>
      </c>
      <c r="B22" s="45" t="s">
        <v>61</v>
      </c>
      <c r="C22" s="45" t="s">
        <v>45</v>
      </c>
      <c r="D22" s="45" t="s">
        <v>53</v>
      </c>
      <c r="E22" s="45" t="s">
        <v>43</v>
      </c>
      <c r="F22" s="46" t="s">
        <v>9</v>
      </c>
      <c r="G22" s="47"/>
    </row>
    <row r="23" spans="1:7" x14ac:dyDescent="0.25">
      <c r="A23" t="s">
        <v>35</v>
      </c>
      <c r="B23" s="41">
        <f>366415360+55204</f>
        <v>366470564</v>
      </c>
      <c r="C23" s="41">
        <f>+B23*1.01</f>
        <v>370135269.63999999</v>
      </c>
      <c r="D23" s="41">
        <v>0</v>
      </c>
      <c r="E23" s="41">
        <f>+C23+D23</f>
        <v>370135269.63999999</v>
      </c>
      <c r="F23" s="2" t="s">
        <v>9</v>
      </c>
    </row>
    <row r="24" spans="1:7" x14ac:dyDescent="0.25">
      <c r="A24" t="s">
        <v>37</v>
      </c>
      <c r="B24" s="42">
        <v>22346764</v>
      </c>
      <c r="C24" s="42" t="s">
        <v>9</v>
      </c>
      <c r="D24" s="42" t="s">
        <v>9</v>
      </c>
      <c r="E24" s="42">
        <f>0.035*602430949.066</f>
        <v>21085083.21731</v>
      </c>
    </row>
    <row r="25" spans="1:7" x14ac:dyDescent="0.25">
      <c r="A25" t="s">
        <v>38</v>
      </c>
      <c r="B25" s="41">
        <v>25065571</v>
      </c>
      <c r="C25" s="41">
        <f t="shared" ref="C25:C29" si="5">+B25*1.01</f>
        <v>25316226.710000001</v>
      </c>
      <c r="D25" s="41">
        <v>0</v>
      </c>
      <c r="E25" s="41">
        <f t="shared" ref="E25:E29" si="6">+C25+D25</f>
        <v>25316226.710000001</v>
      </c>
    </row>
    <row r="26" spans="1:7" x14ac:dyDescent="0.25">
      <c r="A26" t="s">
        <v>39</v>
      </c>
      <c r="B26" s="41">
        <v>53265713</v>
      </c>
      <c r="C26" s="41">
        <f t="shared" si="5"/>
        <v>53798370.130000003</v>
      </c>
      <c r="D26" s="41">
        <f>0.025*B26</f>
        <v>1331642.8250000002</v>
      </c>
      <c r="E26" s="41">
        <f>+C26+D26</f>
        <v>55130012.955000006</v>
      </c>
    </row>
    <row r="27" spans="1:7" x14ac:dyDescent="0.25">
      <c r="A27" t="s">
        <v>40</v>
      </c>
      <c r="B27" s="41">
        <v>74287354</v>
      </c>
      <c r="C27" s="41">
        <f t="shared" si="5"/>
        <v>75030227.540000007</v>
      </c>
      <c r="D27" s="41">
        <f>0.02*B27</f>
        <v>1485747.08</v>
      </c>
      <c r="E27" s="41">
        <f t="shared" si="6"/>
        <v>76515974.620000005</v>
      </c>
    </row>
    <row r="28" spans="1:7" x14ac:dyDescent="0.25">
      <c r="A28" t="s">
        <v>41</v>
      </c>
      <c r="B28" s="41">
        <v>31602394</v>
      </c>
      <c r="C28" s="41">
        <f t="shared" si="5"/>
        <v>31918417.940000001</v>
      </c>
      <c r="D28" s="41">
        <v>0</v>
      </c>
      <c r="E28" s="41">
        <f t="shared" si="6"/>
        <v>31918417.940000001</v>
      </c>
    </row>
    <row r="29" spans="1:7" x14ac:dyDescent="0.25">
      <c r="A29" t="s">
        <v>42</v>
      </c>
      <c r="B29" s="41">
        <v>65680402</v>
      </c>
      <c r="C29" s="41">
        <f t="shared" si="5"/>
        <v>66337206.020000003</v>
      </c>
      <c r="D29" s="41">
        <f>0.02*B29</f>
        <v>1313608.04</v>
      </c>
      <c r="E29" s="41">
        <f t="shared" si="6"/>
        <v>67650814.060000002</v>
      </c>
    </row>
    <row r="30" spans="1:7" x14ac:dyDescent="0.25">
      <c r="A30" s="17" t="s">
        <v>43</v>
      </c>
      <c r="B30" s="43">
        <f>+SUM(B23:B29)</f>
        <v>638718762</v>
      </c>
      <c r="C30" s="43">
        <f>+SUM(C23:C29)</f>
        <v>622535717.98000002</v>
      </c>
      <c r="D30" s="43">
        <f>+SUM(D23:D29)</f>
        <v>4130997.9450000003</v>
      </c>
      <c r="E30" s="43">
        <f>+SUM(E23:E29)</f>
        <v>647751799.1423099</v>
      </c>
    </row>
    <row r="31" spans="1:7" x14ac:dyDescent="0.25">
      <c r="A31" t="s">
        <v>63</v>
      </c>
      <c r="B31" s="2">
        <f>+B30-B24</f>
        <v>616371998</v>
      </c>
    </row>
  </sheetData>
  <pageMargins left="0.7" right="0.7" top="0.75" bottom="0.75" header="0.3" footer="0.3"/>
  <pageSetup scale="8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5" workbookViewId="0">
      <selection activeCell="B30" sqref="B30"/>
    </sheetView>
  </sheetViews>
  <sheetFormatPr defaultRowHeight="15" x14ac:dyDescent="0.25"/>
  <cols>
    <col min="1" max="1" width="19.140625" customWidth="1"/>
    <col min="2" max="7" width="20.7109375" style="1" customWidth="1"/>
  </cols>
  <sheetData>
    <row r="1" spans="1:7" x14ac:dyDescent="0.25">
      <c r="A1" s="19" t="s">
        <v>21</v>
      </c>
      <c r="B1" s="20"/>
      <c r="C1" s="20"/>
      <c r="D1" s="20"/>
      <c r="E1" s="20"/>
      <c r="F1" s="20"/>
      <c r="G1" s="20"/>
    </row>
    <row r="2" spans="1:7" s="6" customFormat="1" ht="45" x14ac:dyDescent="0.25">
      <c r="A2" s="21" t="s">
        <v>1</v>
      </c>
      <c r="B2" s="22" t="s">
        <v>10</v>
      </c>
      <c r="C2" s="22" t="s">
        <v>24</v>
      </c>
      <c r="D2" s="22" t="s">
        <v>49</v>
      </c>
      <c r="E2" s="22" t="s">
        <v>50</v>
      </c>
      <c r="F2" s="22" t="s">
        <v>12</v>
      </c>
      <c r="G2" s="22" t="s">
        <v>2</v>
      </c>
    </row>
    <row r="3" spans="1:7" x14ac:dyDescent="0.25">
      <c r="A3" s="23" t="s">
        <v>0</v>
      </c>
      <c r="B3" s="24">
        <f>582760256-18624369</f>
        <v>564135887</v>
      </c>
      <c r="C3" s="24">
        <v>625245814</v>
      </c>
      <c r="D3" s="24">
        <v>583868849</v>
      </c>
      <c r="E3" s="24">
        <v>635730835</v>
      </c>
      <c r="F3" s="24">
        <f>+C3-D3</f>
        <v>41376965</v>
      </c>
      <c r="G3" s="25">
        <f t="shared" ref="G3:G8" si="0">+F3/D3</f>
        <v>7.0866882298767753E-2</v>
      </c>
    </row>
    <row r="4" spans="1:7" x14ac:dyDescent="0.25">
      <c r="A4" s="23" t="s">
        <v>3</v>
      </c>
      <c r="B4" s="24">
        <v>27697587</v>
      </c>
      <c r="C4" s="24">
        <f>1.01*B4</f>
        <v>27974562.870000001</v>
      </c>
      <c r="D4" s="24">
        <v>23315897</v>
      </c>
      <c r="E4" s="24">
        <v>23641990</v>
      </c>
      <c r="F4" s="24">
        <f>+E4-D4</f>
        <v>326093</v>
      </c>
      <c r="G4" s="25">
        <f t="shared" si="0"/>
        <v>1.3985865523423782E-2</v>
      </c>
    </row>
    <row r="5" spans="1:7" x14ac:dyDescent="0.25">
      <c r="A5" s="23" t="s">
        <v>4</v>
      </c>
      <c r="B5" s="24">
        <v>87430935</v>
      </c>
      <c r="C5" s="24">
        <f>1.01*B5</f>
        <v>88305244.349999994</v>
      </c>
      <c r="D5" s="24">
        <v>87678035</v>
      </c>
      <c r="E5" s="24">
        <v>89355125</v>
      </c>
      <c r="F5" s="24">
        <f>+C5-D5</f>
        <v>627209.34999999404</v>
      </c>
      <c r="G5" s="25">
        <f t="shared" si="0"/>
        <v>7.1535516278392192E-3</v>
      </c>
    </row>
    <row r="6" spans="1:7" x14ac:dyDescent="0.25">
      <c r="A6" s="23" t="s">
        <v>5</v>
      </c>
      <c r="B6" s="24">
        <v>19398072</v>
      </c>
      <c r="C6" s="24">
        <f>1.01*B6</f>
        <v>19592052.719999999</v>
      </c>
      <c r="D6" s="24">
        <v>19443654</v>
      </c>
      <c r="E6" s="24">
        <v>19980990</v>
      </c>
      <c r="F6" s="24">
        <f>+C6-D6</f>
        <v>148398.71999999881</v>
      </c>
      <c r="G6" s="25">
        <f t="shared" si="0"/>
        <v>7.6322444330679208E-3</v>
      </c>
    </row>
    <row r="7" spans="1:7" x14ac:dyDescent="0.25">
      <c r="A7" s="23" t="s">
        <v>6</v>
      </c>
      <c r="B7" s="24">
        <v>123210996</v>
      </c>
      <c r="C7" s="24">
        <f>1.01*B7</f>
        <v>124443105.96000001</v>
      </c>
      <c r="D7" s="24">
        <v>123483769</v>
      </c>
      <c r="E7" s="24">
        <v>126894921</v>
      </c>
      <c r="F7" s="24">
        <f>+C7-D7</f>
        <v>959336.96000000834</v>
      </c>
      <c r="G7" s="25">
        <f t="shared" si="0"/>
        <v>7.7689316399146219E-3</v>
      </c>
    </row>
    <row r="8" spans="1:7" x14ac:dyDescent="0.25">
      <c r="A8" s="23" t="s">
        <v>48</v>
      </c>
      <c r="B8" s="24">
        <v>260186630</v>
      </c>
      <c r="C8" s="24">
        <f>1.01*B8</f>
        <v>262788496.30000001</v>
      </c>
      <c r="D8" s="24">
        <v>5769754</v>
      </c>
      <c r="E8" s="24">
        <v>5927796</v>
      </c>
      <c r="F8" s="24">
        <f>+E8-D8</f>
        <v>158042</v>
      </c>
      <c r="G8" s="25">
        <f t="shared" si="0"/>
        <v>2.7391462443632778E-2</v>
      </c>
    </row>
    <row r="9" spans="1:7" x14ac:dyDescent="0.25">
      <c r="A9" s="23" t="s">
        <v>54</v>
      </c>
      <c r="B9" s="26"/>
      <c r="C9" s="26"/>
      <c r="D9" s="24">
        <f>+D3+D4+D6+D7+D8+16880000</f>
        <v>772761923</v>
      </c>
      <c r="E9" s="26"/>
      <c r="F9" s="26"/>
      <c r="G9" s="26"/>
    </row>
    <row r="10" spans="1:7" x14ac:dyDescent="0.25">
      <c r="A10" s="19" t="s">
        <v>55</v>
      </c>
      <c r="B10" s="27"/>
      <c r="C10" s="20"/>
      <c r="D10" s="20"/>
      <c r="E10" s="20"/>
      <c r="F10" s="20"/>
      <c r="G10" s="20"/>
    </row>
    <row r="11" spans="1:7" ht="75" x14ac:dyDescent="0.25">
      <c r="A11" s="28" t="s">
        <v>1</v>
      </c>
      <c r="B11" s="29" t="s">
        <v>10</v>
      </c>
      <c r="C11" s="22" t="s">
        <v>24</v>
      </c>
      <c r="D11" s="29" t="s">
        <v>49</v>
      </c>
      <c r="E11" s="29" t="s">
        <v>56</v>
      </c>
      <c r="F11" s="29" t="s">
        <v>12</v>
      </c>
      <c r="G11" s="29" t="s">
        <v>2</v>
      </c>
    </row>
    <row r="12" spans="1:7" x14ac:dyDescent="0.25">
      <c r="A12" s="30" t="s">
        <v>0</v>
      </c>
      <c r="B12" s="31">
        <f>+B3</f>
        <v>564135887</v>
      </c>
      <c r="C12" s="31">
        <f>1.01*B12+D30</f>
        <v>626107736.56860006</v>
      </c>
      <c r="D12" s="31">
        <f>+D3</f>
        <v>583868849</v>
      </c>
      <c r="E12" s="31">
        <v>639512977</v>
      </c>
      <c r="F12" s="24">
        <f>+C12-D12</f>
        <v>42238887.568600059</v>
      </c>
      <c r="G12" s="32">
        <f t="shared" ref="G12:G17" si="1">+F12/D12</f>
        <v>7.2343108629520425E-2</v>
      </c>
    </row>
    <row r="13" spans="1:7" s="34" customFormat="1" x14ac:dyDescent="0.25">
      <c r="A13" s="30" t="s">
        <v>3</v>
      </c>
      <c r="B13" s="31">
        <v>27697587</v>
      </c>
      <c r="C13" s="31">
        <f t="shared" ref="C13:C17" si="2">1.01*B13</f>
        <v>27974562.870000001</v>
      </c>
      <c r="D13" s="31">
        <v>23315897</v>
      </c>
      <c r="E13" s="31">
        <f>+E4</f>
        <v>23641990</v>
      </c>
      <c r="F13" s="24">
        <f>+E13-D13</f>
        <v>326093</v>
      </c>
      <c r="G13" s="32">
        <f t="shared" si="1"/>
        <v>1.3985865523423782E-2</v>
      </c>
    </row>
    <row r="14" spans="1:7" x14ac:dyDescent="0.25">
      <c r="A14" s="30" t="s">
        <v>4</v>
      </c>
      <c r="B14" s="31">
        <v>87430935</v>
      </c>
      <c r="C14" s="31">
        <f t="shared" si="2"/>
        <v>88305244.349999994</v>
      </c>
      <c r="D14" s="31">
        <v>87678035</v>
      </c>
      <c r="E14" s="31">
        <v>89279857</v>
      </c>
      <c r="F14" s="24">
        <f>+C14-D14</f>
        <v>627209.34999999404</v>
      </c>
      <c r="G14" s="32">
        <f t="shared" si="1"/>
        <v>7.1535516278392192E-3</v>
      </c>
    </row>
    <row r="15" spans="1:7" x14ac:dyDescent="0.25">
      <c r="A15" s="30" t="s">
        <v>5</v>
      </c>
      <c r="B15" s="31">
        <v>19398072</v>
      </c>
      <c r="C15" s="31">
        <f t="shared" si="2"/>
        <v>19592052.719999999</v>
      </c>
      <c r="D15" s="31">
        <f>+D6</f>
        <v>19443654</v>
      </c>
      <c r="E15" s="31">
        <v>20055903</v>
      </c>
      <c r="F15" s="31">
        <f>+C15-D15</f>
        <v>148398.71999999881</v>
      </c>
      <c r="G15" s="32">
        <f t="shared" si="1"/>
        <v>7.6322444330679208E-3</v>
      </c>
    </row>
    <row r="16" spans="1:7" x14ac:dyDescent="0.25">
      <c r="A16" s="30" t="s">
        <v>6</v>
      </c>
      <c r="B16" s="31">
        <v>123210996</v>
      </c>
      <c r="C16" s="31">
        <f t="shared" si="2"/>
        <v>124443105.96000001</v>
      </c>
      <c r="D16" s="31">
        <v>123483769</v>
      </c>
      <c r="E16" s="31">
        <v>127381803</v>
      </c>
      <c r="F16" s="24">
        <f>+C16-D16</f>
        <v>959336.96000000834</v>
      </c>
      <c r="G16" s="32">
        <f t="shared" si="1"/>
        <v>7.7689316399146219E-3</v>
      </c>
    </row>
    <row r="17" spans="1:7" x14ac:dyDescent="0.25">
      <c r="A17" s="30" t="s">
        <v>48</v>
      </c>
      <c r="B17" s="31">
        <v>257587215</v>
      </c>
      <c r="C17" s="31">
        <f t="shared" si="2"/>
        <v>260163087.15000001</v>
      </c>
      <c r="D17" s="31">
        <v>5769754</v>
      </c>
      <c r="E17" s="31">
        <v>5927796</v>
      </c>
      <c r="F17" s="24">
        <f>+E17-D17</f>
        <v>158042</v>
      </c>
      <c r="G17" s="32">
        <f t="shared" si="1"/>
        <v>2.7391462443632778E-2</v>
      </c>
    </row>
    <row r="18" spans="1:7" x14ac:dyDescent="0.25">
      <c r="A18" s="30" t="s">
        <v>9</v>
      </c>
      <c r="B18" s="31" t="s">
        <v>9</v>
      </c>
      <c r="C18" s="31" t="s">
        <v>9</v>
      </c>
      <c r="D18" s="31" t="s">
        <v>9</v>
      </c>
      <c r="E18" s="31" t="s">
        <v>9</v>
      </c>
      <c r="F18" s="24" t="s">
        <v>9</v>
      </c>
      <c r="G18" s="32" t="s">
        <v>9</v>
      </c>
    </row>
    <row r="19" spans="1:7" hidden="1" x14ac:dyDescent="0.25">
      <c r="A19" s="11" t="s">
        <v>15</v>
      </c>
      <c r="B19" s="9" t="s">
        <v>17</v>
      </c>
      <c r="C19" s="9" t="s">
        <v>17</v>
      </c>
      <c r="D19" s="9">
        <v>41283924</v>
      </c>
      <c r="E19" s="9">
        <v>63689234</v>
      </c>
      <c r="F19" s="9" t="s">
        <v>17</v>
      </c>
      <c r="G19" s="9" t="s">
        <v>17</v>
      </c>
    </row>
    <row r="21" spans="1:7" x14ac:dyDescent="0.25">
      <c r="A21" s="37" t="s">
        <v>47</v>
      </c>
      <c r="B21" s="36"/>
      <c r="C21" s="36"/>
      <c r="D21" s="36"/>
      <c r="E21" s="36"/>
      <c r="F21" s="40"/>
      <c r="G21" s="40"/>
    </row>
    <row r="22" spans="1:7" s="6" customFormat="1" ht="30" x14ac:dyDescent="0.25">
      <c r="A22" s="44" t="s">
        <v>44</v>
      </c>
      <c r="B22" s="45" t="s">
        <v>51</v>
      </c>
      <c r="C22" s="45" t="s">
        <v>45</v>
      </c>
      <c r="D22" s="45" t="s">
        <v>53</v>
      </c>
      <c r="E22" s="45" t="s">
        <v>43</v>
      </c>
      <c r="F22" s="46" t="s">
        <v>9</v>
      </c>
      <c r="G22" s="47"/>
    </row>
    <row r="23" spans="1:7" x14ac:dyDescent="0.25">
      <c r="A23" t="s">
        <v>35</v>
      </c>
      <c r="B23" s="41">
        <f>354943160+248169</f>
        <v>355191329</v>
      </c>
      <c r="C23" s="41">
        <f>+B23*1.01</f>
        <v>358743242.29000002</v>
      </c>
      <c r="D23" s="41">
        <v>0</v>
      </c>
      <c r="E23" s="41">
        <f>+C23+D23</f>
        <v>358743242.29000002</v>
      </c>
      <c r="F23" s="2" t="s">
        <v>9</v>
      </c>
    </row>
    <row r="24" spans="1:7" x14ac:dyDescent="0.25">
      <c r="A24" t="s">
        <v>37</v>
      </c>
      <c r="B24" s="41">
        <v>21031591</v>
      </c>
      <c r="C24" s="41">
        <f t="shared" ref="C24:C29" si="3">+B24*1.01</f>
        <v>21241906.91</v>
      </c>
      <c r="D24" s="41">
        <f>0.02*B24</f>
        <v>420631.82</v>
      </c>
      <c r="E24" s="41">
        <f t="shared" ref="E24:E29" si="4">+C24+D24</f>
        <v>21662538.73</v>
      </c>
    </row>
    <row r="25" spans="1:7" x14ac:dyDescent="0.25">
      <c r="A25" t="s">
        <v>38</v>
      </c>
      <c r="B25" s="41">
        <v>24277489</v>
      </c>
      <c r="C25" s="41">
        <f t="shared" si="3"/>
        <v>24520263.890000001</v>
      </c>
      <c r="D25" s="41">
        <v>0</v>
      </c>
      <c r="E25" s="41">
        <f t="shared" si="4"/>
        <v>24520263.890000001</v>
      </c>
    </row>
    <row r="26" spans="1:7" x14ac:dyDescent="0.25">
      <c r="A26" t="s">
        <v>39</v>
      </c>
      <c r="B26" s="42">
        <v>18624369</v>
      </c>
      <c r="C26" s="42" t="s">
        <v>9</v>
      </c>
      <c r="D26" s="42">
        <v>53228280.840000004</v>
      </c>
      <c r="E26" s="42">
        <f>+D26</f>
        <v>53228280.840000004</v>
      </c>
    </row>
    <row r="27" spans="1:7" x14ac:dyDescent="0.25">
      <c r="A27" t="s">
        <v>40</v>
      </c>
      <c r="B27" s="41">
        <v>70599662</v>
      </c>
      <c r="C27" s="41">
        <f t="shared" si="3"/>
        <v>71305658.620000005</v>
      </c>
      <c r="D27" s="41">
        <f>0.0203*B27</f>
        <v>1433173.1385999999</v>
      </c>
      <c r="E27" s="41">
        <f t="shared" si="4"/>
        <v>72738831.758600011</v>
      </c>
    </row>
    <row r="28" spans="1:7" x14ac:dyDescent="0.25">
      <c r="A28" t="s">
        <v>41</v>
      </c>
      <c r="B28" s="41">
        <v>30615571</v>
      </c>
      <c r="C28" s="41">
        <f t="shared" si="3"/>
        <v>30921726.710000001</v>
      </c>
      <c r="D28" s="41">
        <v>0</v>
      </c>
      <c r="E28" s="41">
        <f t="shared" si="4"/>
        <v>30921726.710000001</v>
      </c>
    </row>
    <row r="29" spans="1:7" x14ac:dyDescent="0.25">
      <c r="A29" t="s">
        <v>42</v>
      </c>
      <c r="B29" s="41">
        <v>62420245</v>
      </c>
      <c r="C29" s="41">
        <f t="shared" si="3"/>
        <v>63044447.450000003</v>
      </c>
      <c r="D29" s="41">
        <f>0.02*B29</f>
        <v>1248404.9000000001</v>
      </c>
      <c r="E29" s="41">
        <f t="shared" si="4"/>
        <v>64292852.350000001</v>
      </c>
    </row>
    <row r="30" spans="1:7" x14ac:dyDescent="0.25">
      <c r="A30" s="17" t="s">
        <v>43</v>
      </c>
      <c r="B30" s="43">
        <f>+SUM(B23:B29)</f>
        <v>582760256</v>
      </c>
      <c r="C30" s="43">
        <f>+SUM(C23:C29)</f>
        <v>569777245.87</v>
      </c>
      <c r="D30" s="43">
        <f>+SUM(D23:D29)</f>
        <v>56330490.698600002</v>
      </c>
      <c r="E30" s="43">
        <f>+SUM(E23:E29)</f>
        <v>626107736.56860006</v>
      </c>
    </row>
    <row r="31" spans="1:7" x14ac:dyDescent="0.25">
      <c r="A31" t="s">
        <v>52</v>
      </c>
      <c r="B31" s="2">
        <f>+B30-B26</f>
        <v>564135887</v>
      </c>
    </row>
  </sheetData>
  <pageMargins left="0.7" right="0.7" top="0.75" bottom="0.75" header="0.3" footer="0.3"/>
  <pageSetup scale="8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F4" sqref="F4"/>
    </sheetView>
  </sheetViews>
  <sheetFormatPr defaultRowHeight="15" x14ac:dyDescent="0.25"/>
  <cols>
    <col min="1" max="1" width="19.140625" customWidth="1"/>
    <col min="2" max="7" width="20.7109375" style="1" customWidth="1"/>
  </cols>
  <sheetData>
    <row r="1" spans="1:7" x14ac:dyDescent="0.25">
      <c r="A1" s="19" t="s">
        <v>21</v>
      </c>
      <c r="B1" s="20"/>
      <c r="C1" s="20"/>
      <c r="D1" s="20"/>
      <c r="E1" s="20"/>
      <c r="F1" s="20"/>
      <c r="G1" s="20"/>
    </row>
    <row r="2" spans="1:7" s="6" customFormat="1" ht="45" x14ac:dyDescent="0.25">
      <c r="A2" s="21" t="s">
        <v>1</v>
      </c>
      <c r="B2" s="22" t="s">
        <v>10</v>
      </c>
      <c r="C2" s="22" t="s">
        <v>24</v>
      </c>
      <c r="D2" s="22" t="s">
        <v>33</v>
      </c>
      <c r="E2" s="22" t="s">
        <v>34</v>
      </c>
      <c r="F2" s="22" t="s">
        <v>12</v>
      </c>
      <c r="G2" s="22" t="s">
        <v>2</v>
      </c>
    </row>
    <row r="3" spans="1:7" x14ac:dyDescent="0.25">
      <c r="A3" s="23" t="s">
        <v>0</v>
      </c>
      <c r="B3" s="24">
        <f>+B29</f>
        <v>563659470</v>
      </c>
      <c r="C3" s="24">
        <f>1.01*B3+D29</f>
        <v>571539141.56150007</v>
      </c>
      <c r="D3" s="24">
        <v>564723767</v>
      </c>
      <c r="E3" s="24">
        <v>581017812</v>
      </c>
      <c r="F3" s="24">
        <f>+C3-D3</f>
        <v>6815374.5615000725</v>
      </c>
      <c r="G3" s="25">
        <f t="shared" ref="G3:G8" si="0">+F3/D3</f>
        <v>1.2068510234137308E-2</v>
      </c>
    </row>
    <row r="4" spans="1:7" x14ac:dyDescent="0.25">
      <c r="A4" s="23" t="s">
        <v>3</v>
      </c>
      <c r="B4" s="24">
        <v>26893151</v>
      </c>
      <c r="C4" s="24">
        <f>1.01*B4</f>
        <v>27162082.510000002</v>
      </c>
      <c r="D4" s="24">
        <v>26951390</v>
      </c>
      <c r="E4" s="24">
        <v>27636966</v>
      </c>
      <c r="F4" s="24">
        <f>+C4-D4</f>
        <v>210692.51000000164</v>
      </c>
      <c r="G4" s="25">
        <f t="shared" si="0"/>
        <v>7.8175006929142293E-3</v>
      </c>
    </row>
    <row r="5" spans="1:7" x14ac:dyDescent="0.25">
      <c r="A5" s="23" t="s">
        <v>4</v>
      </c>
      <c r="B5" s="24">
        <v>85822015</v>
      </c>
      <c r="C5" s="24">
        <f>1.01*B5</f>
        <v>86680235.150000006</v>
      </c>
      <c r="D5" s="24">
        <v>82424494</v>
      </c>
      <c r="E5" s="24">
        <v>87620074</v>
      </c>
      <c r="F5" s="24">
        <f>+E5-D5</f>
        <v>5195580</v>
      </c>
      <c r="G5" s="25">
        <f t="shared" si="0"/>
        <v>6.3034417900096548E-2</v>
      </c>
    </row>
    <row r="6" spans="1:7" x14ac:dyDescent="0.25">
      <c r="A6" s="23" t="s">
        <v>5</v>
      </c>
      <c r="B6" s="24">
        <v>18834637</v>
      </c>
      <c r="C6" s="24">
        <f>1.01*B6</f>
        <v>19022983.370000001</v>
      </c>
      <c r="D6" s="24">
        <v>18877155</v>
      </c>
      <c r="E6" s="24">
        <v>19356878</v>
      </c>
      <c r="F6" s="24">
        <f>+C6-D6</f>
        <v>145828.37000000104</v>
      </c>
      <c r="G6" s="25">
        <f t="shared" si="0"/>
        <v>7.7251243632846713E-3</v>
      </c>
    </row>
    <row r="7" spans="1:7" x14ac:dyDescent="0.25">
      <c r="A7" s="23" t="s">
        <v>6</v>
      </c>
      <c r="B7" s="24">
        <v>119632114</v>
      </c>
      <c r="C7" s="24">
        <f>1.01*B7</f>
        <v>120828435.14</v>
      </c>
      <c r="D7" s="24">
        <v>119879727</v>
      </c>
      <c r="E7" s="24">
        <v>122928761</v>
      </c>
      <c r="F7" s="24">
        <f>+C7-D7</f>
        <v>948708.1400000006</v>
      </c>
      <c r="G7" s="25">
        <f t="shared" si="0"/>
        <v>7.9138330036403956E-3</v>
      </c>
    </row>
    <row r="8" spans="1:7" x14ac:dyDescent="0.25">
      <c r="A8" s="23" t="s">
        <v>48</v>
      </c>
      <c r="B8" s="24">
        <v>257587215</v>
      </c>
      <c r="C8" s="24">
        <f>1.01*B8</f>
        <v>260163087.15000001</v>
      </c>
      <c r="D8" s="24">
        <v>1183252</v>
      </c>
      <c r="E8" s="24">
        <v>5743199</v>
      </c>
      <c r="F8" s="24">
        <f>+E8-D8</f>
        <v>4559947</v>
      </c>
      <c r="G8" s="25">
        <f t="shared" si="0"/>
        <v>3.8537412148891361</v>
      </c>
    </row>
    <row r="9" spans="1:7" x14ac:dyDescent="0.25">
      <c r="A9" s="23"/>
      <c r="B9" s="26"/>
      <c r="C9" s="26"/>
      <c r="D9" s="24" t="s">
        <v>9</v>
      </c>
      <c r="E9" s="26"/>
      <c r="F9" s="26"/>
      <c r="G9" s="26"/>
    </row>
    <row r="10" spans="1:7" x14ac:dyDescent="0.25">
      <c r="A10" s="19" t="s">
        <v>31</v>
      </c>
      <c r="B10" s="27"/>
      <c r="C10" s="20"/>
      <c r="D10" s="20"/>
      <c r="E10" s="20"/>
      <c r="F10" s="20"/>
      <c r="G10" s="20"/>
    </row>
    <row r="11" spans="1:7" ht="60" x14ac:dyDescent="0.25">
      <c r="A11" s="28" t="s">
        <v>1</v>
      </c>
      <c r="B11" s="29" t="s">
        <v>10</v>
      </c>
      <c r="C11" s="22" t="s">
        <v>24</v>
      </c>
      <c r="D11" s="29" t="s">
        <v>28</v>
      </c>
      <c r="E11" s="29" t="s">
        <v>29</v>
      </c>
      <c r="F11" s="29" t="s">
        <v>12</v>
      </c>
      <c r="G11" s="29" t="s">
        <v>2</v>
      </c>
    </row>
    <row r="12" spans="1:7" x14ac:dyDescent="0.25">
      <c r="A12" s="30" t="s">
        <v>0</v>
      </c>
      <c r="B12" s="31">
        <v>0</v>
      </c>
      <c r="C12" s="31">
        <f>1.01*B12</f>
        <v>0</v>
      </c>
      <c r="D12" s="31">
        <v>0</v>
      </c>
      <c r="E12" s="31">
        <v>0</v>
      </c>
      <c r="F12" s="24">
        <f>+C12-D12</f>
        <v>0</v>
      </c>
      <c r="G12" s="32" t="e">
        <f>+F12/D12</f>
        <v>#DIV/0!</v>
      </c>
    </row>
    <row r="13" spans="1:7" s="34" customFormat="1" x14ac:dyDescent="0.25">
      <c r="A13" s="30" t="s">
        <v>3</v>
      </c>
      <c r="B13" s="31">
        <v>0</v>
      </c>
      <c r="C13" s="31">
        <f>1.01*B13</f>
        <v>0</v>
      </c>
      <c r="D13" s="31">
        <v>0</v>
      </c>
      <c r="E13" s="31">
        <v>0</v>
      </c>
      <c r="F13" s="33">
        <f>+C13-D13</f>
        <v>0</v>
      </c>
      <c r="G13" s="32" t="e">
        <f>+F13/D13</f>
        <v>#DIV/0!</v>
      </c>
    </row>
    <row r="14" spans="1:7" x14ac:dyDescent="0.25">
      <c r="A14" s="30" t="s">
        <v>4</v>
      </c>
      <c r="B14" s="31">
        <v>0</v>
      </c>
      <c r="C14" s="31">
        <f>1.01*B14</f>
        <v>0</v>
      </c>
      <c r="D14" s="31">
        <v>0</v>
      </c>
      <c r="E14" s="31">
        <v>0</v>
      </c>
      <c r="F14" s="24">
        <f>+E14-D14</f>
        <v>0</v>
      </c>
      <c r="G14" s="32" t="e">
        <f>+F14/D14</f>
        <v>#DIV/0!</v>
      </c>
    </row>
    <row r="15" spans="1:7" x14ac:dyDescent="0.25">
      <c r="A15" s="30" t="s">
        <v>5</v>
      </c>
      <c r="B15" s="31">
        <v>0</v>
      </c>
      <c r="C15" s="31">
        <f>1.01*B15</f>
        <v>0</v>
      </c>
      <c r="D15" s="31">
        <v>0</v>
      </c>
      <c r="E15" s="31">
        <v>0</v>
      </c>
      <c r="F15" s="31">
        <f>+C15-D15</f>
        <v>0</v>
      </c>
      <c r="G15" s="32" t="e">
        <f>+F15/D15</f>
        <v>#DIV/0!</v>
      </c>
    </row>
    <row r="16" spans="1:7" x14ac:dyDescent="0.25">
      <c r="A16" s="30" t="s">
        <v>6</v>
      </c>
      <c r="B16" s="31">
        <v>0</v>
      </c>
      <c r="C16" s="31">
        <f>1.01*B16</f>
        <v>0</v>
      </c>
      <c r="D16" s="31">
        <v>0</v>
      </c>
      <c r="E16" s="31">
        <v>0</v>
      </c>
      <c r="F16" s="24">
        <f>+C16-D16</f>
        <v>0</v>
      </c>
      <c r="G16" s="32" t="e">
        <f>+F16/D16</f>
        <v>#DIV/0!</v>
      </c>
    </row>
    <row r="17" spans="1:7" x14ac:dyDescent="0.25">
      <c r="A17" s="30" t="s">
        <v>9</v>
      </c>
      <c r="B17" s="31" t="s">
        <v>9</v>
      </c>
      <c r="C17" s="31" t="s">
        <v>9</v>
      </c>
      <c r="D17" s="31" t="s">
        <v>9</v>
      </c>
      <c r="E17" s="31" t="s">
        <v>9</v>
      </c>
      <c r="F17" s="24" t="s">
        <v>9</v>
      </c>
      <c r="G17" s="32" t="s">
        <v>9</v>
      </c>
    </row>
    <row r="18" spans="1:7" hidden="1" x14ac:dyDescent="0.25">
      <c r="A18" s="11" t="s">
        <v>15</v>
      </c>
      <c r="B18" s="9" t="s">
        <v>17</v>
      </c>
      <c r="C18" s="9" t="s">
        <v>17</v>
      </c>
      <c r="D18" s="9">
        <v>41283924</v>
      </c>
      <c r="E18" s="9">
        <v>63689234</v>
      </c>
      <c r="F18" s="9" t="s">
        <v>17</v>
      </c>
      <c r="G18" s="9" t="s">
        <v>17</v>
      </c>
    </row>
    <row r="20" spans="1:7" x14ac:dyDescent="0.25">
      <c r="A20" s="37" t="s">
        <v>47</v>
      </c>
      <c r="B20" s="36"/>
      <c r="C20" s="36"/>
      <c r="D20" s="36"/>
      <c r="E20" s="36"/>
      <c r="F20" s="40"/>
      <c r="G20" s="40"/>
    </row>
    <row r="21" spans="1:7" x14ac:dyDescent="0.25">
      <c r="A21" s="38" t="s">
        <v>44</v>
      </c>
      <c r="B21" s="39" t="s">
        <v>36</v>
      </c>
      <c r="C21" s="39" t="s">
        <v>45</v>
      </c>
      <c r="D21" s="39" t="s">
        <v>46</v>
      </c>
      <c r="E21" s="39" t="s">
        <v>43</v>
      </c>
      <c r="F21" s="2" t="s">
        <v>9</v>
      </c>
    </row>
    <row r="22" spans="1:7" x14ac:dyDescent="0.25">
      <c r="A22" t="s">
        <v>35</v>
      </c>
      <c r="B22" s="2">
        <f>344628983+2485</f>
        <v>344631468</v>
      </c>
      <c r="C22" s="2">
        <f>+B22*1.01</f>
        <v>348077782.68000001</v>
      </c>
      <c r="D22" s="2">
        <v>0</v>
      </c>
      <c r="E22" s="2">
        <f>+C22+D22</f>
        <v>348077782.68000001</v>
      </c>
      <c r="F22" s="2" t="s">
        <v>9</v>
      </c>
    </row>
    <row r="23" spans="1:7" x14ac:dyDescent="0.25">
      <c r="A23" t="s">
        <v>37</v>
      </c>
      <c r="B23" s="2">
        <v>20226189</v>
      </c>
      <c r="C23" s="2">
        <f t="shared" ref="C23:C28" si="1">+B23*1.01</f>
        <v>20428450.890000001</v>
      </c>
      <c r="D23" s="2">
        <f>0.00994*B23</f>
        <v>201048.31865999999</v>
      </c>
      <c r="E23" s="2">
        <f t="shared" ref="E23:E28" si="2">+C23+D23</f>
        <v>20629499.208659999</v>
      </c>
    </row>
    <row r="24" spans="1:7" x14ac:dyDescent="0.25">
      <c r="A24" t="s">
        <v>38</v>
      </c>
      <c r="B24" s="2">
        <v>23811718</v>
      </c>
      <c r="C24" s="2">
        <f t="shared" si="1"/>
        <v>24049835.18</v>
      </c>
      <c r="D24" s="2">
        <v>0</v>
      </c>
      <c r="E24" s="2">
        <f t="shared" si="2"/>
        <v>24049835.18</v>
      </c>
    </row>
    <row r="25" spans="1:7" x14ac:dyDescent="0.25">
      <c r="A25" t="s">
        <v>39</v>
      </c>
      <c r="B25" s="2">
        <v>17911202</v>
      </c>
      <c r="C25" s="2">
        <f t="shared" si="1"/>
        <v>18090314.02</v>
      </c>
      <c r="D25" s="2">
        <f>0.00994*B25</f>
        <v>178037.34787999999</v>
      </c>
      <c r="E25" s="2">
        <f t="shared" si="2"/>
        <v>18268351.367879998</v>
      </c>
    </row>
    <row r="26" spans="1:7" x14ac:dyDescent="0.25">
      <c r="A26" t="s">
        <v>40</v>
      </c>
      <c r="B26" s="2">
        <v>67896084</v>
      </c>
      <c r="C26" s="2">
        <f t="shared" si="1"/>
        <v>68575044.840000004</v>
      </c>
      <c r="D26" s="2">
        <f>0.00994*B26</f>
        <v>674887.07496</v>
      </c>
      <c r="E26" s="2">
        <f t="shared" si="2"/>
        <v>69249931.914959997</v>
      </c>
    </row>
    <row r="27" spans="1:7" x14ac:dyDescent="0.25">
      <c r="A27" t="s">
        <v>41</v>
      </c>
      <c r="B27" s="2">
        <v>29727603</v>
      </c>
      <c r="C27" s="2">
        <f t="shared" si="1"/>
        <v>30024879.030000001</v>
      </c>
      <c r="D27" s="2">
        <v>0</v>
      </c>
      <c r="E27" s="2">
        <f t="shared" si="2"/>
        <v>30024879.030000001</v>
      </c>
    </row>
    <row r="28" spans="1:7" x14ac:dyDescent="0.25">
      <c r="A28" t="s">
        <v>42</v>
      </c>
      <c r="B28" s="2">
        <v>59455206</v>
      </c>
      <c r="C28" s="2">
        <f t="shared" si="1"/>
        <v>60049758.060000002</v>
      </c>
      <c r="D28" s="2">
        <f>0.02*B28</f>
        <v>1189104.1200000001</v>
      </c>
      <c r="E28" s="2">
        <f t="shared" si="2"/>
        <v>61238862.18</v>
      </c>
    </row>
    <row r="29" spans="1:7" x14ac:dyDescent="0.25">
      <c r="A29" s="17" t="s">
        <v>43</v>
      </c>
      <c r="B29" s="35">
        <f>+SUM(B22:B28)</f>
        <v>563659470</v>
      </c>
      <c r="C29" s="35">
        <f>+SUM(C22:C28)</f>
        <v>569296064.70000005</v>
      </c>
      <c r="D29" s="35">
        <f>+SUM(D22:D28)</f>
        <v>2243076.8615000001</v>
      </c>
      <c r="E29" s="35">
        <f>+SUM(E22:E28)</f>
        <v>571539141.56149995</v>
      </c>
    </row>
  </sheetData>
  <pageMargins left="0.7" right="0.7" top="0.75" bottom="0.75" header="0.3" footer="0.3"/>
  <pageSetup scale="8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activeCell="E21" sqref="E21"/>
    </sheetView>
  </sheetViews>
  <sheetFormatPr defaultRowHeight="15" x14ac:dyDescent="0.25"/>
  <cols>
    <col min="1" max="1" width="15.42578125" customWidth="1"/>
    <col min="2" max="7" width="20.7109375" style="1" customWidth="1"/>
  </cols>
  <sheetData>
    <row r="1" spans="1:7" x14ac:dyDescent="0.25">
      <c r="A1" s="19" t="s">
        <v>21</v>
      </c>
      <c r="B1" s="20"/>
      <c r="C1" s="20"/>
      <c r="D1" s="20"/>
      <c r="E1" s="20"/>
      <c r="F1" s="20"/>
      <c r="G1" s="20"/>
    </row>
    <row r="2" spans="1:7" s="6" customFormat="1" ht="45" x14ac:dyDescent="0.25">
      <c r="A2" s="21" t="s">
        <v>1</v>
      </c>
      <c r="B2" s="22" t="s">
        <v>10</v>
      </c>
      <c r="C2" s="22" t="s">
        <v>24</v>
      </c>
      <c r="D2" s="22" t="s">
        <v>27</v>
      </c>
      <c r="E2" s="22" t="s">
        <v>30</v>
      </c>
      <c r="F2" s="22" t="s">
        <v>12</v>
      </c>
      <c r="G2" s="22" t="s">
        <v>2</v>
      </c>
    </row>
    <row r="3" spans="1:7" x14ac:dyDescent="0.25">
      <c r="A3" s="23" t="s">
        <v>0</v>
      </c>
      <c r="B3" s="24">
        <v>461913048</v>
      </c>
      <c r="C3" s="24">
        <f>1.01*B3+79450+29182693</f>
        <v>495794321.48000002</v>
      </c>
      <c r="D3" s="24">
        <v>462453244</v>
      </c>
      <c r="E3" s="24">
        <f>475522847+29182693</f>
        <v>504705540</v>
      </c>
      <c r="F3" s="24">
        <f>+C3-D3</f>
        <v>33341077.480000019</v>
      </c>
      <c r="G3" s="25">
        <f t="shared" ref="G3:G8" si="0">+F3/D3</f>
        <v>7.2096104660474641E-2</v>
      </c>
    </row>
    <row r="4" spans="1:7" x14ac:dyDescent="0.25">
      <c r="A4" s="23" t="s">
        <v>3</v>
      </c>
      <c r="B4" s="24">
        <v>26184771</v>
      </c>
      <c r="C4" s="24">
        <f>1.01*B4</f>
        <v>26446618.710000001</v>
      </c>
      <c r="D4" s="24">
        <v>26253065</v>
      </c>
      <c r="E4" s="24">
        <v>26978396</v>
      </c>
      <c r="F4" s="24">
        <f>+C4-D4</f>
        <v>193553.71000000089</v>
      </c>
      <c r="G4" s="25">
        <f t="shared" si="0"/>
        <v>7.3726138262332755E-3</v>
      </c>
    </row>
    <row r="5" spans="1:7" x14ac:dyDescent="0.25">
      <c r="A5" s="23" t="s">
        <v>4</v>
      </c>
      <c r="B5" s="24">
        <v>85822015</v>
      </c>
      <c r="C5" s="24">
        <f>1.01*B5</f>
        <v>86680235.150000006</v>
      </c>
      <c r="D5" s="24">
        <v>81182066</v>
      </c>
      <c r="E5" s="24">
        <v>81424917</v>
      </c>
      <c r="F5" s="24">
        <f>+E5-D5</f>
        <v>242851</v>
      </c>
      <c r="G5" s="25">
        <f t="shared" si="0"/>
        <v>2.9914365569361093E-3</v>
      </c>
    </row>
    <row r="6" spans="1:7" x14ac:dyDescent="0.25">
      <c r="A6" s="23" t="s">
        <v>5</v>
      </c>
      <c r="B6" s="24">
        <v>18338880</v>
      </c>
      <c r="C6" s="24">
        <f>1.01*B6</f>
        <v>18522268.800000001</v>
      </c>
      <c r="D6" s="24">
        <v>18389600</v>
      </c>
      <c r="E6" s="24">
        <v>18943507</v>
      </c>
      <c r="F6" s="24">
        <f>+C6-D6</f>
        <v>132668.80000000075</v>
      </c>
      <c r="G6" s="25">
        <f t="shared" si="0"/>
        <v>7.214338539174356E-3</v>
      </c>
    </row>
    <row r="7" spans="1:7" x14ac:dyDescent="0.25">
      <c r="A7" s="23" t="s">
        <v>6</v>
      </c>
      <c r="B7" s="24">
        <v>116486412</v>
      </c>
      <c r="C7" s="24">
        <f>1.01*B7</f>
        <v>117651276.12</v>
      </c>
      <c r="D7" s="24">
        <v>116769207</v>
      </c>
      <c r="E7" s="24">
        <v>119994274</v>
      </c>
      <c r="F7" s="24">
        <f>+C7-D7</f>
        <v>882069.12000000477</v>
      </c>
      <c r="G7" s="25">
        <f t="shared" si="0"/>
        <v>7.553953158215802E-3</v>
      </c>
    </row>
    <row r="8" spans="1:7" x14ac:dyDescent="0.25">
      <c r="A8" s="23" t="s">
        <v>32</v>
      </c>
      <c r="B8" s="24">
        <v>260181943</v>
      </c>
      <c r="C8" s="24">
        <f>1.01*B8</f>
        <v>262783762.43000001</v>
      </c>
      <c r="D8" s="24">
        <v>1183252</v>
      </c>
      <c r="E8" s="24">
        <v>1183252</v>
      </c>
      <c r="F8" s="24">
        <f>+E8-D8</f>
        <v>0</v>
      </c>
      <c r="G8" s="25">
        <f t="shared" si="0"/>
        <v>0</v>
      </c>
    </row>
    <row r="9" spans="1:7" x14ac:dyDescent="0.25">
      <c r="A9" s="23"/>
      <c r="B9" s="26"/>
      <c r="C9" s="26"/>
      <c r="D9" s="26"/>
      <c r="E9" s="26"/>
      <c r="F9" s="26"/>
      <c r="G9" s="26"/>
    </row>
    <row r="10" spans="1:7" x14ac:dyDescent="0.25">
      <c r="A10" s="19" t="s">
        <v>31</v>
      </c>
      <c r="B10" s="27"/>
      <c r="C10" s="20"/>
      <c r="D10" s="20"/>
      <c r="E10" s="20"/>
      <c r="F10" s="20"/>
      <c r="G10" s="20"/>
    </row>
    <row r="11" spans="1:7" ht="60" x14ac:dyDescent="0.25">
      <c r="A11" s="28" t="s">
        <v>1</v>
      </c>
      <c r="B11" s="29" t="s">
        <v>10</v>
      </c>
      <c r="C11" s="22" t="s">
        <v>24</v>
      </c>
      <c r="D11" s="29" t="s">
        <v>28</v>
      </c>
      <c r="E11" s="29" t="s">
        <v>29</v>
      </c>
      <c r="F11" s="29" t="s">
        <v>12</v>
      </c>
      <c r="G11" s="29" t="s">
        <v>2</v>
      </c>
    </row>
    <row r="12" spans="1:7" x14ac:dyDescent="0.25">
      <c r="A12" s="30" t="s">
        <v>0</v>
      </c>
      <c r="B12" s="31">
        <v>0</v>
      </c>
      <c r="C12" s="31">
        <f>1.01*B12</f>
        <v>0</v>
      </c>
      <c r="D12" s="31">
        <v>0</v>
      </c>
      <c r="E12" s="31">
        <v>0</v>
      </c>
      <c r="F12" s="24">
        <f>+C12-D12</f>
        <v>0</v>
      </c>
      <c r="G12" s="32" t="e">
        <f>+F12/D12</f>
        <v>#DIV/0!</v>
      </c>
    </row>
    <row r="13" spans="1:7" s="34" customFormat="1" x14ac:dyDescent="0.25">
      <c r="A13" s="30" t="s">
        <v>3</v>
      </c>
      <c r="B13" s="31">
        <v>0</v>
      </c>
      <c r="C13" s="31">
        <f>1.01*B13</f>
        <v>0</v>
      </c>
      <c r="D13" s="31">
        <v>0</v>
      </c>
      <c r="E13" s="31">
        <v>0</v>
      </c>
      <c r="F13" s="33">
        <f>+C13-D13</f>
        <v>0</v>
      </c>
      <c r="G13" s="32" t="e">
        <f>+F13/D13</f>
        <v>#DIV/0!</v>
      </c>
    </row>
    <row r="14" spans="1:7" x14ac:dyDescent="0.25">
      <c r="A14" s="30" t="s">
        <v>4</v>
      </c>
      <c r="B14" s="31">
        <v>0</v>
      </c>
      <c r="C14" s="31">
        <f>1.01*B14</f>
        <v>0</v>
      </c>
      <c r="D14" s="31">
        <v>0</v>
      </c>
      <c r="E14" s="31">
        <v>0</v>
      </c>
      <c r="F14" s="24">
        <f>+E14-D14</f>
        <v>0</v>
      </c>
      <c r="G14" s="32" t="e">
        <f>+F14/D14</f>
        <v>#DIV/0!</v>
      </c>
    </row>
    <row r="15" spans="1:7" x14ac:dyDescent="0.25">
      <c r="A15" s="30" t="s">
        <v>5</v>
      </c>
      <c r="B15" s="31">
        <v>0</v>
      </c>
      <c r="C15" s="31">
        <f>1.01*B15</f>
        <v>0</v>
      </c>
      <c r="D15" s="31">
        <v>0</v>
      </c>
      <c r="E15" s="31">
        <v>0</v>
      </c>
      <c r="F15" s="31">
        <f>+C15-D15</f>
        <v>0</v>
      </c>
      <c r="G15" s="32" t="e">
        <f>+F15/D15</f>
        <v>#DIV/0!</v>
      </c>
    </row>
    <row r="16" spans="1:7" x14ac:dyDescent="0.25">
      <c r="A16" s="30" t="s">
        <v>6</v>
      </c>
      <c r="B16" s="31">
        <v>0</v>
      </c>
      <c r="C16" s="31">
        <f>1.01*B16</f>
        <v>0</v>
      </c>
      <c r="D16" s="31">
        <v>0</v>
      </c>
      <c r="E16" s="31">
        <v>0</v>
      </c>
      <c r="F16" s="24">
        <f>+C16-D16</f>
        <v>0</v>
      </c>
      <c r="G16" s="32" t="e">
        <f>+F16/D16</f>
        <v>#DIV/0!</v>
      </c>
    </row>
    <row r="17" spans="1:7" x14ac:dyDescent="0.25">
      <c r="A17" s="30" t="s">
        <v>9</v>
      </c>
      <c r="B17" s="31" t="s">
        <v>9</v>
      </c>
      <c r="C17" s="31" t="s">
        <v>9</v>
      </c>
      <c r="D17" s="31" t="s">
        <v>9</v>
      </c>
      <c r="E17" s="31" t="s">
        <v>9</v>
      </c>
      <c r="F17" s="24" t="s">
        <v>9</v>
      </c>
      <c r="G17" s="32" t="s">
        <v>9</v>
      </c>
    </row>
    <row r="18" spans="1:7" hidden="1" x14ac:dyDescent="0.25">
      <c r="A18" s="11" t="s">
        <v>15</v>
      </c>
      <c r="B18" s="9" t="s">
        <v>17</v>
      </c>
      <c r="C18" s="9" t="s">
        <v>17</v>
      </c>
      <c r="D18" s="9">
        <v>41283924</v>
      </c>
      <c r="E18" s="9">
        <v>63689234</v>
      </c>
      <c r="F18" s="9" t="s">
        <v>17</v>
      </c>
      <c r="G18" s="9" t="s">
        <v>17</v>
      </c>
    </row>
    <row r="21" spans="1:7" x14ac:dyDescent="0.25">
      <c r="F21" s="2" t="s">
        <v>9</v>
      </c>
    </row>
    <row r="22" spans="1:7" x14ac:dyDescent="0.25">
      <c r="F22" s="2" t="s">
        <v>9</v>
      </c>
    </row>
  </sheetData>
  <pageMargins left="0.7" right="0.7" top="0.75" bottom="0.75" header="0.3" footer="0.3"/>
  <pageSetup scale="87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D3" sqref="D3"/>
    </sheetView>
  </sheetViews>
  <sheetFormatPr defaultRowHeight="15" x14ac:dyDescent="0.25"/>
  <cols>
    <col min="1" max="1" width="15.42578125" customWidth="1"/>
    <col min="2" max="7" width="20.7109375" style="1" customWidth="1"/>
  </cols>
  <sheetData>
    <row r="1" spans="1:7" x14ac:dyDescent="0.25">
      <c r="A1" s="19" t="s">
        <v>21</v>
      </c>
      <c r="B1" s="20"/>
      <c r="C1" s="20"/>
      <c r="D1" s="20"/>
      <c r="E1" s="20"/>
      <c r="F1" s="20"/>
      <c r="G1" s="20"/>
    </row>
    <row r="2" spans="1:7" s="6" customFormat="1" ht="45" x14ac:dyDescent="0.25">
      <c r="A2" s="21" t="s">
        <v>1</v>
      </c>
      <c r="B2" s="22" t="s">
        <v>10</v>
      </c>
      <c r="C2" s="22" t="s">
        <v>24</v>
      </c>
      <c r="D2" s="22" t="s">
        <v>20</v>
      </c>
      <c r="E2" s="22" t="s">
        <v>23</v>
      </c>
      <c r="F2" s="22" t="s">
        <v>12</v>
      </c>
      <c r="G2" s="22" t="s">
        <v>2</v>
      </c>
    </row>
    <row r="3" spans="1:7" x14ac:dyDescent="0.25">
      <c r="A3" s="23" t="s">
        <v>0</v>
      </c>
      <c r="B3" s="24">
        <v>449015575</v>
      </c>
      <c r="C3" s="24">
        <f>1.01*B3+1222351.41</f>
        <v>454728082.16000003</v>
      </c>
      <c r="D3" s="24">
        <v>450832183</v>
      </c>
      <c r="E3" s="24">
        <v>462168094</v>
      </c>
      <c r="F3" s="24">
        <f>+C3-D3</f>
        <v>3895899.1600000262</v>
      </c>
      <c r="G3" s="25">
        <f>+F3/D3</f>
        <v>8.6415728665937466E-3</v>
      </c>
    </row>
    <row r="4" spans="1:7" x14ac:dyDescent="0.25">
      <c r="A4" s="23" t="s">
        <v>3</v>
      </c>
      <c r="B4" s="24">
        <v>25524309</v>
      </c>
      <c r="C4" s="24">
        <f>1.01*B4</f>
        <v>25779552.09</v>
      </c>
      <c r="D4" s="24">
        <v>25426082</v>
      </c>
      <c r="E4" s="24">
        <v>26231515</v>
      </c>
      <c r="F4" s="24">
        <f>+C4-D4</f>
        <v>353470.08999999985</v>
      </c>
      <c r="G4" s="25">
        <f>+F4/D4</f>
        <v>1.390187013476948E-2</v>
      </c>
    </row>
    <row r="5" spans="1:7" x14ac:dyDescent="0.25">
      <c r="A5" s="23" t="s">
        <v>4</v>
      </c>
      <c r="B5" s="24">
        <v>87353453</v>
      </c>
      <c r="C5" s="24">
        <f>1.01*B5</f>
        <v>88226987.530000001</v>
      </c>
      <c r="D5" s="24">
        <v>71721038</v>
      </c>
      <c r="E5" s="24">
        <v>78863300</v>
      </c>
      <c r="F5" s="24">
        <f>+E5-D5</f>
        <v>7142262</v>
      </c>
      <c r="G5" s="25">
        <f>+F5/D5</f>
        <v>9.9583918459183476E-2</v>
      </c>
    </row>
    <row r="6" spans="1:7" x14ac:dyDescent="0.25">
      <c r="A6" s="23" t="s">
        <v>5</v>
      </c>
      <c r="B6" s="24">
        <v>17874001</v>
      </c>
      <c r="C6" s="24">
        <f>1.01*B6</f>
        <v>18052741.010000002</v>
      </c>
      <c r="D6" s="24">
        <v>17955638</v>
      </c>
      <c r="E6" s="24">
        <v>18380304</v>
      </c>
      <c r="F6" s="24">
        <f>+C6-D6</f>
        <v>97103.010000001639</v>
      </c>
      <c r="G6" s="25">
        <f>+F6/D6</f>
        <v>5.4079398348308005E-3</v>
      </c>
    </row>
    <row r="7" spans="1:7" x14ac:dyDescent="0.25">
      <c r="A7" s="23" t="s">
        <v>6</v>
      </c>
      <c r="B7" s="24">
        <v>113541015</v>
      </c>
      <c r="C7" s="24">
        <f>1.01*B7</f>
        <v>114676425.15000001</v>
      </c>
      <c r="D7" s="24">
        <v>113541015</v>
      </c>
      <c r="E7" s="24">
        <v>116715592</v>
      </c>
      <c r="F7" s="24">
        <f>+C7-D7</f>
        <v>1135410.150000006</v>
      </c>
      <c r="G7" s="25">
        <f>+F7/D7</f>
        <v>1.0000000000000052E-2</v>
      </c>
    </row>
    <row r="8" spans="1:7" x14ac:dyDescent="0.25">
      <c r="A8" s="23"/>
      <c r="B8" s="26"/>
      <c r="C8" s="26"/>
      <c r="D8" s="26"/>
      <c r="E8" s="26"/>
      <c r="F8" s="26"/>
      <c r="G8" s="26"/>
    </row>
    <row r="9" spans="1:7" x14ac:dyDescent="0.25">
      <c r="A9" s="19" t="s">
        <v>25</v>
      </c>
      <c r="B9" s="27"/>
      <c r="C9" s="20"/>
      <c r="D9" s="20"/>
      <c r="E9" s="20"/>
      <c r="F9" s="20"/>
      <c r="G9" s="20"/>
    </row>
    <row r="10" spans="1:7" ht="60" x14ac:dyDescent="0.25">
      <c r="A10" s="28" t="s">
        <v>1</v>
      </c>
      <c r="B10" s="29" t="s">
        <v>10</v>
      </c>
      <c r="C10" s="22" t="s">
        <v>24</v>
      </c>
      <c r="D10" s="29" t="s">
        <v>22</v>
      </c>
      <c r="E10" s="29" t="s">
        <v>26</v>
      </c>
      <c r="F10" s="29" t="s">
        <v>12</v>
      </c>
      <c r="G10" s="29" t="s">
        <v>2</v>
      </c>
    </row>
    <row r="11" spans="1:7" x14ac:dyDescent="0.25">
      <c r="A11" s="30" t="s">
        <v>0</v>
      </c>
      <c r="B11" s="31">
        <v>449015575</v>
      </c>
      <c r="C11" s="31">
        <f>1.01*B11</f>
        <v>453505730.75</v>
      </c>
      <c r="D11" s="31">
        <f>+D3</f>
        <v>450832183</v>
      </c>
      <c r="E11" s="31">
        <v>462453243</v>
      </c>
      <c r="F11" s="24">
        <f>+C11-D11</f>
        <v>2673547.75</v>
      </c>
      <c r="G11" s="32">
        <f>+F11/D11</f>
        <v>5.93025043644677E-3</v>
      </c>
    </row>
    <row r="12" spans="1:7" s="34" customFormat="1" x14ac:dyDescent="0.25">
      <c r="A12" s="30" t="s">
        <v>3</v>
      </c>
      <c r="B12" s="31">
        <v>25524309</v>
      </c>
      <c r="C12" s="31">
        <f>1.01*B12</f>
        <v>25779552.09</v>
      </c>
      <c r="D12" s="31">
        <f t="shared" ref="D12:D15" si="0">+D4</f>
        <v>25426082</v>
      </c>
      <c r="E12" s="31">
        <v>26217172</v>
      </c>
      <c r="F12" s="33">
        <f>+C12-D12</f>
        <v>353470.08999999985</v>
      </c>
      <c r="G12" s="32">
        <f>+F12/D12</f>
        <v>1.390187013476948E-2</v>
      </c>
    </row>
    <row r="13" spans="1:7" x14ac:dyDescent="0.25">
      <c r="A13" s="30" t="s">
        <v>4</v>
      </c>
      <c r="B13" s="31">
        <v>85822015</v>
      </c>
      <c r="C13" s="31">
        <f>1.01*B13</f>
        <v>86680235.150000006</v>
      </c>
      <c r="D13" s="31">
        <f t="shared" si="0"/>
        <v>71721038</v>
      </c>
      <c r="E13" s="31">
        <v>81063326</v>
      </c>
      <c r="F13" s="24">
        <f>+E13-D13</f>
        <v>9342288</v>
      </c>
      <c r="G13" s="32">
        <f>+F13/D13</f>
        <v>0.130258683651511</v>
      </c>
    </row>
    <row r="14" spans="1:7" x14ac:dyDescent="0.25">
      <c r="A14" s="30" t="s">
        <v>5</v>
      </c>
      <c r="B14" s="31">
        <v>17874001</v>
      </c>
      <c r="C14" s="31">
        <f>1.01*B14</f>
        <v>18052741.010000002</v>
      </c>
      <c r="D14" s="31">
        <f t="shared" si="0"/>
        <v>17955638</v>
      </c>
      <c r="E14" s="31">
        <v>18364254</v>
      </c>
      <c r="F14" s="31">
        <f>+C14-D14</f>
        <v>97103.010000001639</v>
      </c>
      <c r="G14" s="32">
        <f>+F14/D14</f>
        <v>5.4079398348308005E-3</v>
      </c>
    </row>
    <row r="15" spans="1:7" x14ac:dyDescent="0.25">
      <c r="A15" s="30" t="s">
        <v>6</v>
      </c>
      <c r="B15" s="31">
        <v>113541015</v>
      </c>
      <c r="C15" s="31">
        <f>1.01*B15</f>
        <v>114676425.15000001</v>
      </c>
      <c r="D15" s="31">
        <f t="shared" si="0"/>
        <v>113541015</v>
      </c>
      <c r="E15" s="31">
        <v>116608875</v>
      </c>
      <c r="F15" s="24">
        <f>+C15-D15</f>
        <v>1135410.150000006</v>
      </c>
      <c r="G15" s="32">
        <f>+F15/D15</f>
        <v>1.0000000000000052E-2</v>
      </c>
    </row>
    <row r="16" spans="1:7" hidden="1" x14ac:dyDescent="0.25">
      <c r="A16" s="11" t="s">
        <v>15</v>
      </c>
      <c r="B16" s="9" t="s">
        <v>17</v>
      </c>
      <c r="C16" s="9" t="s">
        <v>17</v>
      </c>
      <c r="D16" s="9">
        <v>41283924</v>
      </c>
      <c r="E16" s="9">
        <v>63689234</v>
      </c>
      <c r="F16" s="9" t="s">
        <v>17</v>
      </c>
      <c r="G16" s="9" t="s">
        <v>17</v>
      </c>
    </row>
    <row r="19" spans="6:6" x14ac:dyDescent="0.25">
      <c r="F19" s="2" t="s">
        <v>9</v>
      </c>
    </row>
    <row r="20" spans="6:6" x14ac:dyDescent="0.25">
      <c r="F20" s="2" t="s">
        <v>9</v>
      </c>
    </row>
  </sheetData>
  <pageMargins left="0.7" right="0.7" top="0.75" bottom="0.75" header="0.3" footer="0.3"/>
  <pageSetup scale="87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21"/>
  <sheetViews>
    <sheetView workbookViewId="0">
      <selection activeCell="E12" sqref="E12"/>
    </sheetView>
  </sheetViews>
  <sheetFormatPr defaultRowHeight="15" x14ac:dyDescent="0.25"/>
  <cols>
    <col min="1" max="1" width="15.42578125" customWidth="1"/>
    <col min="2" max="7" width="20.7109375" style="1" customWidth="1"/>
  </cols>
  <sheetData>
    <row r="2" spans="1:7" s="6" customFormat="1" ht="30" x14ac:dyDescent="0.25">
      <c r="A2" s="4" t="s">
        <v>1</v>
      </c>
      <c r="B2" s="5" t="s">
        <v>10</v>
      </c>
      <c r="C2" s="5" t="s">
        <v>11</v>
      </c>
      <c r="D2" s="5" t="s">
        <v>13</v>
      </c>
      <c r="E2" s="5" t="s">
        <v>14</v>
      </c>
      <c r="F2" s="5" t="s">
        <v>12</v>
      </c>
      <c r="G2" s="5" t="s">
        <v>2</v>
      </c>
    </row>
    <row r="3" spans="1:7" x14ac:dyDescent="0.25">
      <c r="A3" t="s">
        <v>0</v>
      </c>
      <c r="B3" s="2">
        <v>377275042</v>
      </c>
      <c r="C3" s="2">
        <f>1.01*B3</f>
        <v>381047792.42000002</v>
      </c>
      <c r="D3" s="2">
        <v>378627297</v>
      </c>
      <c r="E3" s="2">
        <v>385627142</v>
      </c>
      <c r="F3" s="2">
        <f>+C3-D3</f>
        <v>2420495.4200000167</v>
      </c>
      <c r="G3" s="3">
        <f>+F3/D3</f>
        <v>6.3928180540031602E-3</v>
      </c>
    </row>
    <row r="4" spans="1:7" x14ac:dyDescent="0.25">
      <c r="A4" t="s">
        <v>3</v>
      </c>
      <c r="B4" s="2">
        <v>25928315</v>
      </c>
      <c r="C4" s="2">
        <f>1.01*B4</f>
        <v>26187598.149999999</v>
      </c>
      <c r="D4" s="2">
        <v>23473405</v>
      </c>
      <c r="E4" s="2">
        <v>24916238</v>
      </c>
      <c r="F4" s="2">
        <f>+E4-D4</f>
        <v>1442833</v>
      </c>
      <c r="G4" s="3">
        <f>+F4/D4</f>
        <v>6.146671094372546E-2</v>
      </c>
    </row>
    <row r="5" spans="1:7" x14ac:dyDescent="0.25">
      <c r="A5" t="s">
        <v>4</v>
      </c>
      <c r="B5" s="2">
        <v>87126302</v>
      </c>
      <c r="C5" s="2">
        <f>1.01*B5</f>
        <v>87997565.019999996</v>
      </c>
      <c r="D5" s="2">
        <v>67537651</v>
      </c>
      <c r="E5" s="2">
        <v>70057085</v>
      </c>
      <c r="F5" s="2">
        <f>+E5-D5</f>
        <v>2519434</v>
      </c>
      <c r="G5" s="3">
        <f>+F5/D5</f>
        <v>3.7304140175085453E-2</v>
      </c>
    </row>
    <row r="6" spans="1:7" x14ac:dyDescent="0.25">
      <c r="A6" t="s">
        <v>5</v>
      </c>
      <c r="B6" s="2">
        <v>17505877</v>
      </c>
      <c r="C6" s="2">
        <f>1.01*B6</f>
        <v>17680935.77</v>
      </c>
      <c r="D6" s="2">
        <v>17566647</v>
      </c>
      <c r="E6" s="2">
        <v>17906469</v>
      </c>
      <c r="F6" s="2">
        <f>+C6-D6</f>
        <v>114288.76999999955</v>
      </c>
      <c r="G6" s="3">
        <f>+F6/D6</f>
        <v>6.5060093710541094E-3</v>
      </c>
    </row>
    <row r="7" spans="1:7" x14ac:dyDescent="0.25">
      <c r="A7" t="s">
        <v>16</v>
      </c>
      <c r="B7" s="2" t="s">
        <v>17</v>
      </c>
      <c r="C7" s="2" t="s">
        <v>17</v>
      </c>
      <c r="D7" s="2">
        <v>93870870</v>
      </c>
      <c r="E7" s="2">
        <v>111265562</v>
      </c>
      <c r="F7" s="2" t="s">
        <v>17</v>
      </c>
      <c r="G7" s="3" t="s">
        <v>17</v>
      </c>
    </row>
    <row r="8" spans="1:7" s="7" customFormat="1" x14ac:dyDescent="0.25">
      <c r="A8" s="7" t="s">
        <v>15</v>
      </c>
      <c r="B8" s="2" t="s">
        <v>17</v>
      </c>
      <c r="C8" s="2" t="s">
        <v>17</v>
      </c>
      <c r="D8" s="2">
        <v>41283924</v>
      </c>
      <c r="E8" s="2">
        <v>62357037</v>
      </c>
      <c r="F8" s="2" t="s">
        <v>17</v>
      </c>
      <c r="G8" s="2" t="s">
        <v>17</v>
      </c>
    </row>
    <row r="10" spans="1:7" x14ac:dyDescent="0.25">
      <c r="A10" s="17" t="s">
        <v>19</v>
      </c>
      <c r="B10" s="18"/>
    </row>
    <row r="11" spans="1:7" ht="30" x14ac:dyDescent="0.25">
      <c r="A11" s="15" t="s">
        <v>1</v>
      </c>
      <c r="B11" s="16" t="s">
        <v>10</v>
      </c>
      <c r="C11" s="16" t="s">
        <v>11</v>
      </c>
      <c r="D11" s="16" t="s">
        <v>13</v>
      </c>
      <c r="E11" s="16" t="s">
        <v>18</v>
      </c>
      <c r="F11" s="16" t="s">
        <v>12</v>
      </c>
      <c r="G11" s="16" t="s">
        <v>2</v>
      </c>
    </row>
    <row r="12" spans="1:7" x14ac:dyDescent="0.25">
      <c r="A12" s="8" t="s">
        <v>0</v>
      </c>
      <c r="B12" s="9">
        <v>377064987</v>
      </c>
      <c r="C12" s="9">
        <f>1.01*B12</f>
        <v>380835636.87</v>
      </c>
      <c r="D12" s="9">
        <v>419960132</v>
      </c>
      <c r="E12" s="9">
        <v>450928833</v>
      </c>
      <c r="F12" s="9">
        <f>+E12-D12-1816608-4161101</f>
        <v>24990992</v>
      </c>
      <c r="G12" s="10">
        <f>+F12/D12</f>
        <v>5.9508010631828263E-2</v>
      </c>
    </row>
    <row r="13" spans="1:7" x14ac:dyDescent="0.25">
      <c r="A13" s="12" t="s">
        <v>3</v>
      </c>
      <c r="B13" s="13">
        <v>25524309</v>
      </c>
      <c r="C13" s="13">
        <f>1.01*B13</f>
        <v>25779552.09</v>
      </c>
      <c r="D13" s="13">
        <v>23473833</v>
      </c>
      <c r="E13" s="13">
        <v>25448548</v>
      </c>
      <c r="F13" s="13">
        <f>+E13-D13</f>
        <v>1974715</v>
      </c>
      <c r="G13" s="14">
        <f>+F13/D13</f>
        <v>8.412409681878541E-2</v>
      </c>
    </row>
    <row r="14" spans="1:7" x14ac:dyDescent="0.25">
      <c r="A14" s="8" t="s">
        <v>4</v>
      </c>
      <c r="B14" s="9">
        <v>85822015</v>
      </c>
      <c r="C14" s="9">
        <f>1.01*B14</f>
        <v>86680235.150000006</v>
      </c>
      <c r="D14" s="9">
        <v>67535938</v>
      </c>
      <c r="E14" s="9">
        <v>71725774</v>
      </c>
      <c r="F14" s="9">
        <f>+E14-D14</f>
        <v>4189836</v>
      </c>
      <c r="G14" s="10">
        <f>+F14/D14</f>
        <v>6.2038614167171262E-2</v>
      </c>
    </row>
    <row r="15" spans="1:7" x14ac:dyDescent="0.25">
      <c r="A15" s="8" t="s">
        <v>5</v>
      </c>
      <c r="B15" s="9">
        <v>17505877</v>
      </c>
      <c r="C15" s="9">
        <f>1.01*B15</f>
        <v>17680935.77</v>
      </c>
      <c r="D15" s="9">
        <v>17566647</v>
      </c>
      <c r="E15" s="13">
        <v>17955638</v>
      </c>
      <c r="F15" s="9">
        <f>+C15-D15</f>
        <v>114288.76999999955</v>
      </c>
      <c r="G15" s="10">
        <f>+F15/D15</f>
        <v>6.5060093710541094E-3</v>
      </c>
    </row>
    <row r="16" spans="1:7" x14ac:dyDescent="0.25">
      <c r="A16" s="8" t="s">
        <v>16</v>
      </c>
      <c r="B16" s="9" t="s">
        <v>17</v>
      </c>
      <c r="C16" s="9" t="s">
        <v>17</v>
      </c>
      <c r="D16" s="9">
        <v>93870870</v>
      </c>
      <c r="E16" s="9">
        <v>113641366</v>
      </c>
      <c r="F16" s="9">
        <f>+E16-D16</f>
        <v>19770496</v>
      </c>
      <c r="G16" s="10">
        <f>+F16/D16</f>
        <v>0.21061375057033135</v>
      </c>
    </row>
    <row r="17" spans="1:7" hidden="1" x14ac:dyDescent="0.25">
      <c r="A17" s="11" t="s">
        <v>15</v>
      </c>
      <c r="B17" s="9" t="s">
        <v>17</v>
      </c>
      <c r="C17" s="9" t="s">
        <v>17</v>
      </c>
      <c r="D17" s="9">
        <v>41283924</v>
      </c>
      <c r="E17" s="9">
        <v>63689234</v>
      </c>
      <c r="F17" s="9" t="s">
        <v>17</v>
      </c>
      <c r="G17" s="9" t="s">
        <v>17</v>
      </c>
    </row>
    <row r="20" spans="1:7" x14ac:dyDescent="0.25">
      <c r="F20" s="2">
        <f>+F13-F4</f>
        <v>531882</v>
      </c>
    </row>
    <row r="21" spans="1:7" x14ac:dyDescent="0.25">
      <c r="F21" s="2">
        <f>+F14-F5</f>
        <v>1670402</v>
      </c>
    </row>
  </sheetData>
  <pageMargins left="0.7" right="0.7" top="0.75" bottom="0.75" header="0.3" footer="0.3"/>
  <pageSetup scale="87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14"/>
  <sheetViews>
    <sheetView workbookViewId="0">
      <selection activeCell="C18" sqref="C18"/>
    </sheetView>
  </sheetViews>
  <sheetFormatPr defaultRowHeight="15" x14ac:dyDescent="0.25"/>
  <cols>
    <col min="1" max="1" width="15.42578125" customWidth="1"/>
    <col min="2" max="7" width="20.7109375" style="1" customWidth="1"/>
  </cols>
  <sheetData>
    <row r="2" spans="1:7" s="6" customFormat="1" ht="30" x14ac:dyDescent="0.25">
      <c r="A2" s="4" t="s">
        <v>1</v>
      </c>
      <c r="B2" s="5" t="s">
        <v>10</v>
      </c>
      <c r="C2" s="5" t="s">
        <v>11</v>
      </c>
      <c r="D2" s="5" t="s">
        <v>7</v>
      </c>
      <c r="E2" s="5" t="s">
        <v>8</v>
      </c>
      <c r="F2" s="5" t="s">
        <v>12</v>
      </c>
      <c r="G2" s="5" t="s">
        <v>2</v>
      </c>
    </row>
    <row r="3" spans="1:7" x14ac:dyDescent="0.25">
      <c r="A3" t="s">
        <v>0</v>
      </c>
      <c r="B3" s="2">
        <v>371394744</v>
      </c>
      <c r="C3" s="2">
        <f>1.01*B3</f>
        <v>375108691.44</v>
      </c>
      <c r="D3" s="2">
        <f>385867611-11212493</f>
        <v>374655118</v>
      </c>
      <c r="E3" s="2">
        <f>379657196+18573917+21962402</f>
        <v>420193515</v>
      </c>
      <c r="F3" s="2">
        <f>+C3-D3</f>
        <v>453573.43999999762</v>
      </c>
      <c r="G3" s="3">
        <f>+F3/D3</f>
        <v>1.2106425835613371E-3</v>
      </c>
    </row>
    <row r="4" spans="1:7" x14ac:dyDescent="0.25">
      <c r="A4" t="s">
        <v>3</v>
      </c>
      <c r="B4" s="2">
        <v>25524309</v>
      </c>
      <c r="C4" s="2">
        <f>1.01*B4</f>
        <v>25779552.09</v>
      </c>
      <c r="D4" s="2">
        <v>23823382</v>
      </c>
      <c r="E4" s="2">
        <v>23531144</v>
      </c>
      <c r="F4" s="2">
        <f>+E4-D4</f>
        <v>-292238</v>
      </c>
      <c r="G4" s="3">
        <f>+F4/D4</f>
        <v>-1.2266856149979041E-2</v>
      </c>
    </row>
    <row r="5" spans="1:7" x14ac:dyDescent="0.25">
      <c r="A5" t="s">
        <v>4</v>
      </c>
      <c r="B5" s="2">
        <v>85822015</v>
      </c>
      <c r="C5" s="2">
        <f>1.01*B5</f>
        <v>86680235.150000006</v>
      </c>
      <c r="D5" s="2">
        <v>73706592</v>
      </c>
      <c r="E5" s="2">
        <v>67590982</v>
      </c>
      <c r="F5" s="2">
        <f>+E5-D5</f>
        <v>-6115610</v>
      </c>
      <c r="G5" s="3">
        <f>+F5/D5</f>
        <v>-8.2972361549425597E-2</v>
      </c>
    </row>
    <row r="6" spans="1:7" x14ac:dyDescent="0.25">
      <c r="A6" t="s">
        <v>5</v>
      </c>
      <c r="B6" s="2">
        <v>17222689</v>
      </c>
      <c r="C6" s="2">
        <f>1.01*B6</f>
        <v>17394915.890000001</v>
      </c>
      <c r="D6" s="2">
        <v>17416782</v>
      </c>
      <c r="E6" s="2">
        <v>17566655</v>
      </c>
      <c r="F6" s="2">
        <f>+C6-D6</f>
        <v>-21866.109999999404</v>
      </c>
      <c r="G6" s="3">
        <f>+F6/D6</f>
        <v>-1.255462116939823E-3</v>
      </c>
    </row>
    <row r="7" spans="1:7" x14ac:dyDescent="0.25">
      <c r="A7" t="s">
        <v>6</v>
      </c>
      <c r="B7" s="2">
        <v>105289842</v>
      </c>
      <c r="C7" s="2">
        <f>1.01*B7</f>
        <v>106342740.42</v>
      </c>
      <c r="D7" s="2">
        <v>95268834</v>
      </c>
      <c r="E7" s="2">
        <v>94101896</v>
      </c>
      <c r="F7" s="2">
        <f>+E7-D7</f>
        <v>-1166938</v>
      </c>
      <c r="G7" s="3">
        <f>+F7/D7</f>
        <v>-1.224889558320825E-2</v>
      </c>
    </row>
    <row r="14" spans="1:7" x14ac:dyDescent="0.25">
      <c r="E14" s="1" t="s">
        <v>9</v>
      </c>
    </row>
  </sheetData>
  <pageMargins left="0.7" right="0.7" top="0.75" bottom="0.75" header="0.3" footer="0.3"/>
  <pageSetup scale="8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TY 2021</vt:lpstr>
      <vt:lpstr>TY 2020</vt:lpstr>
      <vt:lpstr>TY 2019</vt:lpstr>
      <vt:lpstr>TY 2018</vt:lpstr>
      <vt:lpstr>TY 2017</vt:lpstr>
      <vt:lpstr>TY 2016</vt:lpstr>
      <vt:lpstr>TY 2015</vt:lpstr>
      <vt:lpstr>TY 2014</vt:lpstr>
      <vt:lpstr>TY 2013</vt:lpstr>
    </vt:vector>
  </TitlesOfParts>
  <Company>King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Reich, David</cp:lastModifiedBy>
  <cp:lastPrinted>2020-08-17T21:49:19Z</cp:lastPrinted>
  <dcterms:created xsi:type="dcterms:W3CDTF">2012-08-31T18:15:32Z</dcterms:created>
  <dcterms:modified xsi:type="dcterms:W3CDTF">2020-09-08T20:57:52Z</dcterms:modified>
</cp:coreProperties>
</file>