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05" tabRatio="694" activeTab="0"/>
  </bookViews>
  <sheets>
    <sheet name="6YrPemLvy No Debt " sheetId="19" r:id="rId1"/>
    <sheet name="10 Scenario Graph WG" sheetId="14" state="hidden" r:id="rId2"/>
    <sheet name="Calculation of Needs" sheetId="2" r:id="rId3"/>
    <sheet name="Adopted CIP Plan 11-13-2018" sheetId="1" r:id="rId4"/>
    <sheet name="Chart usage of funds &gt; 2030" sheetId="20" r:id="rId5"/>
    <sheet name="Summary Graph" sheetId="21" r:id="rId6"/>
    <sheet name="Graph Data" sheetId="22" r:id="rId7"/>
  </sheets>
  <externalReferences>
    <externalReference r:id="rId10"/>
    <externalReference r:id="rId11"/>
    <externalReference r:id="rId12"/>
  </externalReferences>
  <definedNames>
    <definedName name="_xlnm.Print_Area" localSheetId="1">'10 Scenario Graph WG'!$J$26:$V$53</definedName>
    <definedName name="_xlnm.Print_Area" localSheetId="0">'6YrPemLvy No Debt '!$A$1:$P$50</definedName>
    <definedName name="_xlnm.Print_Area" localSheetId="3">'Adopted CIP Plan 11-13-2018'!$A$1:$J$120</definedName>
    <definedName name="_xlnm.Print_Area" localSheetId="6">'Graph Data'!$A$1:$Q$14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Mitchell, Patricia</author>
    <author>Christensen, Eric</author>
  </authors>
  <commentList>
    <comment ref="D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Redmond Ridge NE Roundabout and Covington Way SE Intersection Improvements</t>
        </r>
      </text>
    </comment>
    <comment ref="F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PSRC grant at 86.5 percent for design and row for Woodinville Duvall/West Snoqualmie Valley Road 5-16-2018
</t>
        </r>
      </text>
    </comment>
    <comment ref="H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PSRC grant at 86.5 percent for design and row for Woodinville Duvall/West Snoqualmie Valley Road -- 5-16-2018</t>
        </r>
      </text>
    </comment>
    <comment ref="C1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D1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11/13/2018 -- Council add</t>
        </r>
      </text>
    </comment>
    <comment ref="D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
</t>
        </r>
      </text>
    </comment>
    <comment ref="F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</t>
        </r>
      </text>
    </comment>
    <comment ref="G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</t>
        </r>
      </text>
    </comment>
    <comment ref="D2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Signal or roundabout 
• Need to coordinate with Drainage 
• Design by consultant 
• 2019 CDR (5% design), 2020 grant, 2020-2022 design, 2021-2022 permits and ROW, and 2023-2024 construction
• updated 5-9-2018; need to update schedule in above bullet</t>
        </r>
      </text>
    </comment>
    <comment ref="D2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State grant
• Design and construction</t>
        </r>
      </text>
    </comment>
    <comment ref="E30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$759,337 218th Reconstruction</t>
        </r>
      </text>
    </comment>
    <comment ref="F30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$2,570,000 218th Reconstruction
updated grant amount based on email from Ed on 6-15-2018
</t>
        </r>
      </text>
    </comment>
    <comment ref="D33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$1,500,000
Ames Lake Road Bridge
- deleted 5-29-2018; Aaron said receiving grant by June 25 is unlikely; in addition it;'s unknown which project (Ames Lake road Bridge or another project) will be awarded</t>
        </r>
      </text>
    </comment>
    <comment ref="G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H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I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G42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Last year of reimbursement</t>
        </r>
      </text>
    </comment>
    <comment ref="C49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E5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Grant; design only; $759,337
• Local share is $118,509
• Construction in out years and is unsecured</t>
        </r>
      </text>
    </comment>
    <comment ref="D6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design moves into operating</t>
        </r>
      </text>
    </comment>
    <comment ref="E6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using carryover to fund; was $2 million</t>
        </r>
      </text>
    </comment>
    <comment ref="C6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F6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 and 2021 construction</t>
        </r>
      </text>
    </comment>
    <comment ref="C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E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southeast side of intersection in 2020
- Assumes using carryover to fully fund; was $310,000</t>
        </r>
      </text>
    </comment>
    <comment ref="G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northeast side of intersection in 2022</t>
        </r>
      </text>
    </comment>
    <comment ref="C7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Camelot Elementary</t>
        </r>
      </text>
    </comment>
    <comment ref="C7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Lakeland Elementary and Sequoyah Middle schools</t>
        </r>
      </text>
    </comment>
    <comment ref="C7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Valhalla Elementary, Star Lake Elementary and Totem Middle schools</t>
        </r>
      </text>
    </comment>
    <comment ref="C7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updated 6-18-2018 with Steve Klusman</t>
        </r>
      </text>
    </comment>
    <comment ref="F7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
</t>
        </r>
      </text>
    </comment>
    <comment ref="H7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</t>
        </r>
      </text>
    </comment>
    <comment ref="G78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ROW and small amount of design $
assumes bond funds for revenue</t>
        </r>
      </text>
    </comment>
    <comment ref="I78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Construction, closeout and 1% for art
</t>
        </r>
      </text>
    </comment>
    <comment ref="F79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BRAC Grant $2,525,115
• Local Share $394,093
• Funds construction and closeout plus 1% for Art on non-grant budget</t>
        </r>
      </text>
    </comment>
    <comment ref="G8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</t>
        </r>
      </text>
    </comment>
    <comment ref="D8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State grant
• Design</t>
        </r>
      </text>
    </comment>
    <comment ref="C9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$300,000 in 2025</t>
        </r>
      </text>
    </comment>
    <comment ref="D93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Christensen, Eric:
$1,500,000 for Ames Lake Road Bridge
- deleted 5-29-2018; Aaron said receiving grant by June 25 is unlikely; in addition it's unknown which project (Ames Lake road Bridge or another project) will be awarded</t>
        </r>
      </text>
    </comment>
    <comment ref="C29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C29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C30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E30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southeast side of intersection in 2020</t>
        </r>
      </text>
    </comment>
    <comment ref="C31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2026 construction = $10,480,700</t>
        </r>
      </text>
    </comment>
  </commentList>
</comments>
</file>

<file path=xl/sharedStrings.xml><?xml version="1.0" encoding="utf-8"?>
<sst xmlns="http://schemas.openxmlformats.org/spreadsheetml/2006/main" count="422" uniqueCount="303">
  <si>
    <t>Roads 2019-2020 Proposed CIP 6 Year Plan</t>
  </si>
  <si>
    <t>3865 COUNTY ROAD CONSTRUCTION FUND</t>
  </si>
  <si>
    <t>Account No.</t>
  </si>
  <si>
    <t>Revenues</t>
  </si>
  <si>
    <t>Total</t>
  </si>
  <si>
    <t>Notes</t>
  </si>
  <si>
    <t>Note</t>
  </si>
  <si>
    <t>F.A.U.S. Road Grant</t>
  </si>
  <si>
    <t>WA ST Dept of Transportation</t>
  </si>
  <si>
    <t>Woodinville Duvall Road/West Snoqualmie Valley Road</t>
  </si>
  <si>
    <t>Contribution -- County Road Fund</t>
  </si>
  <si>
    <r>
      <t>Sale of Land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(Please see note 6)</t>
    </r>
  </si>
  <si>
    <t>Total Revenues</t>
  </si>
  <si>
    <t>Project No.</t>
  </si>
  <si>
    <t>Expenditures</t>
  </si>
  <si>
    <t>RSD Emergent Need 3865</t>
  </si>
  <si>
    <t>5% of project appropriation authority</t>
  </si>
  <si>
    <t>5 percent of fund without grant contingency</t>
  </si>
  <si>
    <t>RSD Grant Contingency 3865</t>
  </si>
  <si>
    <t>RSD CWP Guardrail Construction</t>
  </si>
  <si>
    <t>RSD Issaquah Hobart @ Cedar Grove Roundabout (Study)</t>
  </si>
  <si>
    <t>Design Road Funded? Construction $ and grant funded</t>
  </si>
  <si>
    <t>Design; construct with grant only</t>
  </si>
  <si>
    <t xml:space="preserve">RSD Issaquah Hobart @ May Valley Roundabout </t>
  </si>
  <si>
    <t>Design Road Funded? Construction $ and grant funded?</t>
  </si>
  <si>
    <t>RSD SE 176th Street &amp; SE171st Way Roundabout</t>
  </si>
  <si>
    <t xml:space="preserve">RSD CIP Oversight 3865 </t>
  </si>
  <si>
    <t>RSD S360th Street &amp; Military Road Roundabout</t>
  </si>
  <si>
    <t>RSD SW 102nd St at 8th Ave SW Roundabout</t>
  </si>
  <si>
    <t>RSD SE Kent-Kangley Road @ SE Landsburg Road Roundabout</t>
  </si>
  <si>
    <t>2019-2020 design, 2020-2021 permits and ROW, and 2022 construction</t>
  </si>
  <si>
    <t>RSD NE Woodinville Duvall Road @ West Snoqualmie Valley Road NE Intersection Improvement</t>
  </si>
  <si>
    <t>Grant Project</t>
  </si>
  <si>
    <t>• Signal or roundabout 
• Need to coordinate with Drainage 
• Design by consultant 
• 2019 CDR (5% design), 2020 grant, 2020-2022 design, 2021-2022 permits and ROW, and 2023-2024 construction</t>
  </si>
  <si>
    <t>RSD Redmond Ridge Drive NE Roundabout</t>
  </si>
  <si>
    <t>• State Grant
• Design and Construction</t>
  </si>
  <si>
    <t>RSD Vashon Maintenance Facility Replacement</t>
  </si>
  <si>
    <t>RSD Northeast Maintenance Facility Replacement</t>
  </si>
  <si>
    <t>RSD Preston Maintenance Facility Buildout</t>
  </si>
  <si>
    <t>Total Expenditures</t>
  </si>
  <si>
    <t>3855 COUNTY ROAD MAJOR MAINTENANCE FUND</t>
  </si>
  <si>
    <t>Contingency and 218th</t>
  </si>
  <si>
    <t>Federal Bridge Grant</t>
  </si>
  <si>
    <t>Coal Creek Construction only.  Any other grant assumptions for bridges?</t>
  </si>
  <si>
    <t>WA ST Department of Transportation</t>
  </si>
  <si>
    <t>R.A.P. Road Grant</t>
  </si>
  <si>
    <t>General Obligation Bonds</t>
  </si>
  <si>
    <t>Fred and Bridge Construction Dollars</t>
  </si>
  <si>
    <t>Contribution - Surface Water Management Base</t>
  </si>
  <si>
    <t>Current Assumptions (Slight uptick for 19-20 per WLRD)</t>
  </si>
  <si>
    <t>Need to update</t>
  </si>
  <si>
    <t>"New base"</t>
  </si>
  <si>
    <r>
      <t xml:space="preserve">Contribution - Surface Water Management -- </t>
    </r>
    <r>
      <rPr>
        <i/>
        <sz val="11"/>
        <color theme="1"/>
        <rFont val="Calibri"/>
        <family val="2"/>
        <scheme val="minor"/>
      </rPr>
      <t>13 Percent SWM Rate Assumption</t>
    </r>
  </si>
  <si>
    <r>
      <t>Contribution - Surface Water Management -- 7</t>
    </r>
    <r>
      <rPr>
        <i/>
        <sz val="11"/>
        <color theme="1"/>
        <rFont val="Calibri"/>
        <family val="2"/>
        <scheme val="minor"/>
      </rPr>
      <t xml:space="preserve"> Percent SWM Rate Assumption (total of 20 Percent)</t>
    </r>
  </si>
  <si>
    <t>Additional SWM for Culvert Replacement and Fish Passage</t>
  </si>
  <si>
    <t>Contribution - Current Expense</t>
  </si>
  <si>
    <t>General Fund</t>
  </si>
  <si>
    <t>Contribution - REET</t>
  </si>
  <si>
    <t>Road Construct - Other Government</t>
  </si>
  <si>
    <r>
      <t>Road C E SWM</t>
    </r>
    <r>
      <rPr>
        <i/>
        <sz val="9"/>
        <color theme="1"/>
        <rFont val="Calibri"/>
        <family val="2"/>
        <scheme val="minor"/>
      </rPr>
      <t xml:space="preserve"> (Please see note 4)</t>
    </r>
  </si>
  <si>
    <t>Need to match expenses</t>
  </si>
  <si>
    <t>Disappropriation (adopted ordinance # 18744 )</t>
  </si>
  <si>
    <t>Transfers from other funds for 2018 Bridge Safety</t>
  </si>
  <si>
    <t>RSD Emergent Need 3855</t>
  </si>
  <si>
    <t>RSD Grant Contingency 3855</t>
  </si>
  <si>
    <t>RSD CWP Quick Response</t>
  </si>
  <si>
    <t>RSD CWP Roadway Preservation</t>
  </si>
  <si>
    <t>- Pavement</t>
  </si>
  <si>
    <r>
      <t xml:space="preserve">- High Risk Paving </t>
    </r>
    <r>
      <rPr>
        <i/>
        <sz val="9"/>
        <color theme="1"/>
        <rFont val="Calibri"/>
        <family val="2"/>
        <scheme val="minor"/>
      </rPr>
      <t>(Please see notes 1, 3)</t>
    </r>
  </si>
  <si>
    <t>- 218th Avenue SE Reconstruction</t>
  </si>
  <si>
    <t>Grant - design only as of 4/30</t>
  </si>
  <si>
    <t>• Grant; design only; $759,337
• Local share is $118,509
• Construction in out years and is unsecured</t>
  </si>
  <si>
    <t>RSD CWP Drainage Preservation</t>
  </si>
  <si>
    <r>
      <t xml:space="preserve">- Drainage Preservation </t>
    </r>
    <r>
      <rPr>
        <i/>
        <sz val="9"/>
        <color theme="1"/>
        <rFont val="Calibri"/>
        <family val="2"/>
        <scheme val="minor"/>
      </rPr>
      <t>(Please see notes 1, 3)</t>
    </r>
  </si>
  <si>
    <r>
      <t xml:space="preserve">- Shouldering </t>
    </r>
    <r>
      <rPr>
        <i/>
        <sz val="9"/>
        <color theme="1"/>
        <rFont val="Calibri"/>
        <family val="2"/>
        <scheme val="minor"/>
      </rPr>
      <t>(Please see notes 1, 3)</t>
    </r>
  </si>
  <si>
    <t>RSD CWP Guardrail Preservation</t>
  </si>
  <si>
    <t>RSD CWP Bridge Priority Maintenance</t>
  </si>
  <si>
    <r>
      <t xml:space="preserve">- Bridge Priority Maintenance </t>
    </r>
    <r>
      <rPr>
        <i/>
        <sz val="9"/>
        <color theme="1"/>
        <rFont val="Calibri"/>
        <family val="2"/>
        <scheme val="minor"/>
      </rPr>
      <t>(Please see notes 1, 3)</t>
    </r>
  </si>
  <si>
    <t>- Bridge Painting</t>
  </si>
  <si>
    <t>Is grant certain? If not, use grant contingency if awarded.  No need to budget</t>
  </si>
  <si>
    <t>Possible project for 2019 BRAC call</t>
  </si>
  <si>
    <t>RSD CWP Clear Zone Safety</t>
  </si>
  <si>
    <t>RSD CWP High Collision Safety</t>
  </si>
  <si>
    <t>- High Collision Safety</t>
  </si>
  <si>
    <t>- Avondale Rd NE at Cottage Lake Elementary School</t>
  </si>
  <si>
    <t>- 164th Place SE and Covington Sawyer Road</t>
  </si>
  <si>
    <t>RSD CWP School Zone Safety</t>
  </si>
  <si>
    <r>
      <t xml:space="preserve">- School Zone Safety </t>
    </r>
    <r>
      <rPr>
        <i/>
        <sz val="9"/>
        <color theme="1"/>
        <rFont val="Calibri"/>
        <family val="2"/>
        <scheme val="minor"/>
      </rPr>
      <t>(Please see note 3)</t>
    </r>
  </si>
  <si>
    <t>- S 298th Street School Pathway</t>
  </si>
  <si>
    <t>- S 360th Street School Pathway</t>
  </si>
  <si>
    <t>- 42nd Street School Pathway</t>
  </si>
  <si>
    <t>RSD CWP Oversight 3855</t>
  </si>
  <si>
    <t>RSD CWP Flood Control District</t>
  </si>
  <si>
    <t>Let's confirm process Potential $165,000 for 2023</t>
  </si>
  <si>
    <t>RSD CWP 2019-2020 Bridge Safety</t>
  </si>
  <si>
    <t>- S 277th Street Bridge #3126</t>
  </si>
  <si>
    <t>Need to confirm timing</t>
  </si>
  <si>
    <t>Construction and closeout</t>
  </si>
  <si>
    <t>- Ames Lake Trestle Bridge #1320A</t>
  </si>
  <si>
    <t>No cost??</t>
  </si>
  <si>
    <t>2026 construction = $10,480,700</t>
  </si>
  <si>
    <t>- Baring Bridge #509A</t>
  </si>
  <si>
    <t>- Coal Creek Bridge #3035A</t>
  </si>
  <si>
    <t>• BRAC Grant $2,525,115
• Local Share $394,093
• Funds construction and closeout</t>
  </si>
  <si>
    <t>- Upper Tokul Bridge #271B</t>
  </si>
  <si>
    <r>
      <t xml:space="preserve">RSD Facilities LED Conversion </t>
    </r>
    <r>
      <rPr>
        <b/>
        <i/>
        <sz val="9"/>
        <color theme="1"/>
        <rFont val="Calibri"/>
        <family val="2"/>
        <scheme val="minor"/>
      </rPr>
      <t>(Please see note 2)</t>
    </r>
  </si>
  <si>
    <t>Need dollar amount</t>
  </si>
  <si>
    <t>RSD Covington Way SE Intersection Improvements</t>
  </si>
  <si>
    <t>• State Grant
• Design</t>
  </si>
  <si>
    <t>RSD CWP Traffic Safety</t>
  </si>
  <si>
    <t>Can we afford this with bridge supplemental?</t>
  </si>
  <si>
    <t>- Left turn phasing or flashing yellow arrow</t>
  </si>
  <si>
    <t>- Traffic calming</t>
  </si>
  <si>
    <t>- Roadway Lighting</t>
  </si>
  <si>
    <t>- All-way stops and crosswalks</t>
  </si>
  <si>
    <t>- Tier 1 roads -- turn lanes</t>
  </si>
  <si>
    <t>- Tier 2 roads -- turn lanes</t>
  </si>
  <si>
    <t>- Tier 3 and 4 roads -- turn lanes</t>
  </si>
  <si>
    <t>$300,000 in 2025</t>
  </si>
  <si>
    <t>- Radar speed signs</t>
  </si>
  <si>
    <t>- Transverse rumble strips</t>
  </si>
  <si>
    <t>XXXXXXX</t>
  </si>
  <si>
    <t>RSD Ames Lake Road Bridge #1320A or other CRAB project</t>
  </si>
  <si>
    <t>Grant</t>
  </si>
  <si>
    <t>RSD CWP Obsolete IT System Replacement</t>
  </si>
  <si>
    <r>
      <t xml:space="preserve">RSD CWP Culvert Replacement and Fish Passage </t>
    </r>
    <r>
      <rPr>
        <b/>
        <i/>
        <sz val="11"/>
        <color theme="1"/>
        <rFont val="Calibri"/>
        <family val="2"/>
        <scheme val="minor"/>
      </rPr>
      <t>Please see notes 3, 5</t>
    </r>
  </si>
  <si>
    <t>RSD Maintenance Headquarters Building D Rehabilitation</t>
  </si>
  <si>
    <t xml:space="preserve">RSD CWP 2018 Bridge Safety </t>
  </si>
  <si>
    <t>TOTAL EXPENDITURES, REVENUES and BALANCING</t>
  </si>
  <si>
    <t>Total Expenditures -- Funds 03865 and 03855</t>
  </si>
  <si>
    <t>Overprogramming Prior Biennium</t>
  </si>
  <si>
    <t>Total -- Grants and Other Funding Sources</t>
  </si>
  <si>
    <t>Operating Fund CIP Contribution</t>
  </si>
  <si>
    <r>
      <t>Available/</t>
    </r>
    <r>
      <rPr>
        <sz val="11"/>
        <color rgb="FFFF0000"/>
        <rFont val="Calibri"/>
        <family val="2"/>
        <scheme val="minor"/>
      </rPr>
      <t>(Shortfall)</t>
    </r>
  </si>
  <si>
    <r>
      <t>Available/</t>
    </r>
    <r>
      <rPr>
        <sz val="11"/>
        <color rgb="FFFF0000"/>
        <rFont val="Calibri"/>
        <family val="2"/>
        <scheme val="minor"/>
      </rPr>
      <t xml:space="preserve">(Shortfall) </t>
    </r>
    <r>
      <rPr>
        <sz val="11"/>
        <rFont val="Calibri"/>
        <family val="2"/>
        <scheme val="minor"/>
      </rPr>
      <t>for the Biennium</t>
    </r>
  </si>
  <si>
    <r>
      <t>3855 County Road Construction Fund - Available/</t>
    </r>
    <r>
      <rPr>
        <sz val="11"/>
        <color rgb="FFFF0000"/>
        <rFont val="Calibri"/>
        <family val="2"/>
        <scheme val="minor"/>
      </rPr>
      <t>(Shortfall)</t>
    </r>
  </si>
  <si>
    <r>
      <t>3865 County Road Construction Fund - Available/</t>
    </r>
    <r>
      <rPr>
        <sz val="11"/>
        <color rgb="FFFF0000"/>
        <rFont val="Calibri"/>
        <family val="2"/>
        <scheme val="minor"/>
      </rPr>
      <t>(Shortfall)</t>
    </r>
  </si>
  <si>
    <t>Notes:</t>
  </si>
  <si>
    <t>Supports staffing</t>
  </si>
  <si>
    <t>LED conversion funded by FRED loan -- plan neutral</t>
  </si>
  <si>
    <t>Highlighted rows discussed and agreed to by Maintenance and Engineering 5/17/2018; these allocations should be considered locked. Drainage Preservation and Culvert Replacement updated August 22, 2018; please see allocations for Drainage crew work, below.</t>
  </si>
  <si>
    <t>Funded by Flood Control District</t>
  </si>
  <si>
    <t>Partially supports staffing</t>
  </si>
  <si>
    <t>Assumes sale of land in 2018</t>
  </si>
  <si>
    <t>ITEMS OF NOTE</t>
  </si>
  <si>
    <t>REVENUES AND TRANSFERS</t>
  </si>
  <si>
    <t>Operating Transfer -- Council Adopted</t>
  </si>
  <si>
    <t>2019-2020 per Council Ordinance 2018-18835</t>
  </si>
  <si>
    <t>REET</t>
  </si>
  <si>
    <t>Base for Pavement Preservation -- Ruth and Jillian emails 8/21/2018</t>
  </si>
  <si>
    <r>
      <t>Contribution - REET -</t>
    </r>
    <r>
      <rPr>
        <i/>
        <sz val="11"/>
        <color theme="1"/>
        <rFont val="Calibri"/>
        <family val="2"/>
        <scheme val="minor"/>
      </rPr>
      <t>- Add #1a</t>
    </r>
  </si>
  <si>
    <t>Renton D Building Roof and HVAC Rehab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</si>
  <si>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#1b</t>
    </r>
  </si>
  <si>
    <t>Baring Bridge design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</si>
  <si>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#2</t>
    </r>
  </si>
  <si>
    <t>Pavement Preservation to offset additional 7% SWM fee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</si>
  <si>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#3</t>
    </r>
  </si>
  <si>
    <t>Fish Passage projects to be designed by consultants -- Ruth and Jillian emails 8/21/2018</t>
  </si>
  <si>
    <t xml:space="preserve">Contribution - REET </t>
  </si>
  <si>
    <t>Additional Fish Passage projects -- Jillian email 8/23/2018</t>
  </si>
  <si>
    <t>Total REET</t>
  </si>
  <si>
    <t>SWM</t>
  </si>
  <si>
    <t>Contribution - Surface Water Management</t>
  </si>
  <si>
    <t>Base</t>
  </si>
  <si>
    <t>Contribution - Surface Water Management -- 13 percent increase</t>
  </si>
  <si>
    <t>One-time catch basin cleaning -- to operating -- Jillian email 8-23-2018</t>
  </si>
  <si>
    <t>• Fish passable culverts from agreed upon list -- Jillian email 8-23-2018
• Majority to be done by crews / in-house -- Jillian email 8-15-2018</t>
  </si>
  <si>
    <t>Contribution - Surface Water Management -- 20 percent total increase</t>
  </si>
  <si>
    <t>Jillian email 8-23-2018</t>
  </si>
  <si>
    <t>Total -- Base</t>
  </si>
  <si>
    <t>Ties to Jillian email 8-23-2018</t>
  </si>
  <si>
    <t>Additional Fish Passage -- Jillian email 8-23-2018</t>
  </si>
  <si>
    <t>Total SWM to Roads for PIC and Fin Plans</t>
  </si>
  <si>
    <t>Adjustment -- to Operating for catch basin cleaning</t>
  </si>
  <si>
    <t>Adjusted Total</t>
  </si>
  <si>
    <t>Other Revenue</t>
  </si>
  <si>
    <t>Baring Bridge ROW, Construction and about $106k for design</t>
  </si>
  <si>
    <t>Additional bond funds to fund emergent nature for the bridge program</t>
  </si>
  <si>
    <t>Disappropriations -- for 2019-2020 Bridge Safety</t>
  </si>
  <si>
    <t>Fund 3860</t>
  </si>
  <si>
    <t>1026789 Emergent Need</t>
  </si>
  <si>
    <t>1027160 CW Bridge Priority Maintenance</t>
  </si>
  <si>
    <t>Fund 3855</t>
  </si>
  <si>
    <t>1129590 CW High Collision Safety -- was $2,210,000</t>
  </si>
  <si>
    <t>1132177 CW Clear Zone</t>
  </si>
  <si>
    <t>EXPENDITURES</t>
  </si>
  <si>
    <t>Drainage Preservation Crew Work Funding -- does not include Shouldering</t>
  </si>
  <si>
    <t>Drainage Preservation</t>
  </si>
  <si>
    <t>Difference between other funding sources and planned allocation</t>
  </si>
  <si>
    <t>Difference between planned funding and other allocations</t>
  </si>
  <si>
    <t>Total Funding -- Drainage Preservation Crew Work</t>
  </si>
  <si>
    <t>Allocation to Drainage Crew Work -- Does not include Shouldering</t>
  </si>
  <si>
    <t>Agency Proposed 6-29-2018</t>
  </si>
  <si>
    <t>Council Adopted 11-13-2018</t>
  </si>
  <si>
    <t>RSD CWP Culvert Replacement and Fish Passage</t>
  </si>
  <si>
    <t>Cuilvert Replacement and Fish Passage Funding</t>
  </si>
  <si>
    <r>
      <t xml:space="preserve">Contribution - Surface Water Management -- </t>
    </r>
    <r>
      <rPr>
        <i/>
        <sz val="11"/>
        <color theme="1"/>
        <rFont val="Calibri"/>
        <family val="2"/>
        <scheme val="minor"/>
      </rPr>
      <t>13 Percent SWM Rate</t>
    </r>
  </si>
  <si>
    <t>Pavement Preservation Funding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</si>
  <si>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Base</t>
    </r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</si>
  <si>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 2</t>
    </r>
  </si>
  <si>
    <t>Sub-total -- Paving and High Risk</t>
  </si>
  <si>
    <t>Adjustment to Drainage Preservation</t>
  </si>
  <si>
    <t>Target/Maintain Status Quo</t>
  </si>
  <si>
    <t>Need</t>
  </si>
  <si>
    <t>Total Status Quo</t>
  </si>
  <si>
    <t>Available to Capital Fund</t>
  </si>
  <si>
    <t>Service %</t>
  </si>
  <si>
    <t>A</t>
  </si>
  <si>
    <t>B</t>
  </si>
  <si>
    <t>C</t>
  </si>
  <si>
    <t>D=B-C</t>
  </si>
  <si>
    <t>less:</t>
  </si>
  <si>
    <t>RSD Emergent Need</t>
  </si>
  <si>
    <t>Inflator</t>
  </si>
  <si>
    <t>Current Plan</t>
  </si>
  <si>
    <t>New Funding</t>
  </si>
  <si>
    <t>Total CWP Quick Response</t>
  </si>
  <si>
    <t>Total CWP Guardrail Construction</t>
  </si>
  <si>
    <t>Total CWP Roadway Preservation</t>
  </si>
  <si>
    <t>Total CWP Drainage</t>
  </si>
  <si>
    <t>Total CWP Collision Safety</t>
  </si>
  <si>
    <t>Total CWP Bridges Priority Maintenance</t>
  </si>
  <si>
    <t>Total RSD Emergent Need</t>
  </si>
  <si>
    <t>CWP Program Totals</t>
  </si>
  <si>
    <t>RSD CWP Drainage Preservation -- Crews</t>
  </si>
  <si>
    <t>Carryforward funding</t>
  </si>
  <si>
    <r>
      <t>E=G</t>
    </r>
    <r>
      <rPr>
        <b/>
        <sz val="8"/>
        <color theme="1"/>
        <rFont val="Calibri"/>
        <family val="2"/>
        <scheme val="minor"/>
      </rPr>
      <t>(prior year)</t>
    </r>
  </si>
  <si>
    <t>G</t>
  </si>
  <si>
    <t>F=D+E</t>
  </si>
  <si>
    <t>H=F-G</t>
  </si>
  <si>
    <t>Available for Programming</t>
  </si>
  <si>
    <t>Total Additional Capital -- "Buy"</t>
  </si>
  <si>
    <t>Available Grant Leverage at 20%</t>
  </si>
  <si>
    <t>Current CIP Contribution</t>
  </si>
  <si>
    <t>6 Year Add</t>
  </si>
  <si>
    <t>4 Year CIP Add</t>
  </si>
  <si>
    <t>8 Year CIP Add</t>
  </si>
  <si>
    <t>Difference</t>
  </si>
  <si>
    <t>White Out</t>
  </si>
  <si>
    <t>CWP Bridge Load Upgrade</t>
  </si>
  <si>
    <t>Required to Maintain Operating Level of Service</t>
  </si>
  <si>
    <t>Required to Maintain CIP Level of Service</t>
  </si>
  <si>
    <t>Total To Maintain CIP Level of Service</t>
  </si>
  <si>
    <t>Contingency Reserve</t>
  </si>
  <si>
    <t>Reserve for grant match, leveraging funding</t>
  </si>
  <si>
    <t>Debit</t>
  </si>
  <si>
    <t>Bridge 1</t>
  </si>
  <si>
    <t>Bridge 2</t>
  </si>
  <si>
    <t>Bridge 3</t>
  </si>
  <si>
    <t>Bridge 4</t>
  </si>
  <si>
    <t>Bridge 5</t>
  </si>
  <si>
    <t>Bridge 6</t>
  </si>
  <si>
    <t>1129584 - RSD CWP Quick Response</t>
  </si>
  <si>
    <t>1129594 - RSD CWP Guardrail Construction</t>
  </si>
  <si>
    <t>1129587 - RSD CWP Guardrail Preservation</t>
  </si>
  <si>
    <t>1129585 - RSD CWP Roadway Preservation</t>
  </si>
  <si>
    <t>1129586 - RSD CWP Drainage Preservation</t>
  </si>
  <si>
    <t>1129590 - RSD CWP High Collision Safety</t>
  </si>
  <si>
    <t>1129588 - RSD CWP Bridge Priority Maintenance</t>
  </si>
  <si>
    <t>1129582 &amp; 1129592 - RSD Emergent Need (Calculated project contingency)</t>
  </si>
  <si>
    <t>Reserve to fund  2027 - 2030 annual shortfall</t>
  </si>
  <si>
    <t>Addition to Operations</t>
  </si>
  <si>
    <t>Calcs to smooth High Collision Safety</t>
  </si>
  <si>
    <t>Capital Funding</t>
  </si>
  <si>
    <t>Addition to Existing CIP Funding</t>
  </si>
  <si>
    <t>Future Operating Shortfall</t>
  </si>
  <si>
    <r>
      <t xml:space="preserve">Annual Surplus / </t>
    </r>
    <r>
      <rPr>
        <sz val="11"/>
        <color rgb="FFFF0000"/>
        <rFont val="Calibri"/>
        <family val="2"/>
        <scheme val="minor"/>
      </rPr>
      <t>(Shortfall)</t>
    </r>
    <r>
      <rPr>
        <sz val="11"/>
        <rFont val="Calibri"/>
        <family val="2"/>
        <scheme val="minor"/>
      </rPr>
      <t xml:space="preserve"> [Funded by Reserve below]</t>
    </r>
  </si>
  <si>
    <r>
      <rPr>
        <b/>
        <i/>
        <sz val="11"/>
        <color theme="1"/>
        <rFont val="Calibri"/>
        <family val="2"/>
        <scheme val="minor"/>
      </rPr>
      <t>Intersection Safety and Improvement Projects</t>
    </r>
  </si>
  <si>
    <r>
      <t xml:space="preserve">Additional Levy Funds -- </t>
    </r>
    <r>
      <rPr>
        <b/>
        <i/>
        <sz val="11"/>
        <color theme="1"/>
        <rFont val="Calibri"/>
        <family val="2"/>
        <scheme val="minor"/>
      </rPr>
      <t>OEFA August 2019 Forecast</t>
    </r>
  </si>
  <si>
    <t>Proposed uses for  additional funding from levy lid lift -- 10 Year scenario -- 6 Year Permanent Lid Lift</t>
  </si>
  <si>
    <t>2021 - 2022 Bridge Safety Program</t>
  </si>
  <si>
    <t>RSD Emergent Need (Calculated Project Contingency</t>
  </si>
  <si>
    <t>Preserve current level of Operations and Maintenance</t>
  </si>
  <si>
    <t>Pavement Preservation  50-60 Centerline Miles of Paving</t>
  </si>
  <si>
    <t>Maintain 2019-2020 Levels of Core Countywide Safety and Preservation Programs</t>
  </si>
  <si>
    <t>Char</t>
  </si>
  <si>
    <t>Local match for grant leverage</t>
  </si>
  <si>
    <t>Bridge Replacement</t>
  </si>
  <si>
    <t>Intersections and Safety Improvements</t>
  </si>
  <si>
    <t>New Countywide Bridge Upgrade Program</t>
  </si>
  <si>
    <t>Diff for Graph</t>
  </si>
  <si>
    <t>Dup for Graph</t>
  </si>
  <si>
    <t>Blank for Graph</t>
  </si>
  <si>
    <t>Adjustment to Smooth High Collision Safety Funding</t>
  </si>
  <si>
    <t>Not Graphed</t>
  </si>
  <si>
    <t>High Sollision Safety Funding</t>
  </si>
  <si>
    <t>Total Addition to Capital</t>
  </si>
  <si>
    <t>Current Planned Operating Transfer to Capital</t>
  </si>
  <si>
    <t>Summations for Graph</t>
  </si>
  <si>
    <t>Council District</t>
  </si>
  <si>
    <t xml:space="preserve">Cottage Lake Creek – 240A                                                                                                                 </t>
  </si>
  <si>
    <t xml:space="preserve">Bear Creek – 333A                                                                                                                                </t>
  </si>
  <si>
    <r>
      <t xml:space="preserve">Berrydale OX – 30860X, </t>
    </r>
    <r>
      <rPr>
        <i/>
        <sz val="11"/>
        <color theme="1"/>
        <rFont val="Calibri"/>
        <family val="2"/>
        <scheme val="minor"/>
      </rPr>
      <t xml:space="preserve">BRAC grant match only                                                                             </t>
    </r>
  </si>
  <si>
    <t xml:space="preserve">Deep Creek – 364A                                                                                                                                   </t>
  </si>
  <si>
    <r>
      <t xml:space="preserve">North Fork – 1221 I, BRAC </t>
    </r>
    <r>
      <rPr>
        <i/>
        <sz val="11"/>
        <color theme="1"/>
        <rFont val="Calibri"/>
        <family val="2"/>
        <scheme val="minor"/>
      </rPr>
      <t xml:space="preserve">grant match only                                                                                    </t>
    </r>
  </si>
  <si>
    <t xml:space="preserve">Rainier Ave South and Lakeridge Drive  Intersection Improvement                                            </t>
  </si>
  <si>
    <t>Enumclaw Plateau Traffic Review and Safety Modifications</t>
  </si>
  <si>
    <t xml:space="preserve">Issaquah Creek – 1741A                                                                                                                        </t>
  </si>
  <si>
    <t xml:space="preserve">Renton Ave S Sidewalk Phase III                                                                                                      </t>
  </si>
  <si>
    <t>Stabilizes maintenance and operations, maintains preservation programs at 2019 service levels, adds 6 bridges and 6 intersection/safety improvement projects</t>
  </si>
  <si>
    <t xml:space="preserve">S 360 Street and Military Road S (Design and ROW)                                                                                                         </t>
  </si>
  <si>
    <t>SE Kent Kangley at SE Landsburg Rd. Intersection Improvements ( Design and ROW)</t>
  </si>
  <si>
    <t xml:space="preserve">10 Ave SW Traffic Calming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</si>
</sst>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0,,_)\ &quot;Million&quot;;\(&quot;$&quot;0,,\)\ &quot;Million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1" tint="0.35"/>
      <name val="+mn-cs"/>
      <family val="2"/>
    </font>
    <font>
      <sz val="9"/>
      <color theme="1" tint="0.35"/>
      <name val="+mn-cs"/>
      <family val="2"/>
    </font>
    <font>
      <sz val="11"/>
      <color theme="1" tint="0.35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theme="1" tint="0.25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Up">
        <bgColor theme="7" tint="0.5999900102615356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4999699890613556"/>
      </left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38" fontId="0" fillId="0" borderId="1" xfId="0" applyNumberFormat="1" applyBorder="1" applyAlignment="1">
      <alignment vertical="top"/>
    </xf>
    <xf numFmtId="38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38" fontId="0" fillId="0" borderId="1" xfId="0" applyNumberFormat="1" applyFill="1" applyBorder="1" applyAlignment="1">
      <alignment vertical="top"/>
    </xf>
    <xf numFmtId="38" fontId="0" fillId="0" borderId="1" xfId="0" applyNumberFormat="1" applyFill="1" applyBorder="1" applyAlignment="1">
      <alignment wrapText="1"/>
    </xf>
    <xf numFmtId="38" fontId="0" fillId="0" borderId="1" xfId="0" applyNumberFormat="1" applyBorder="1"/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38" fontId="0" fillId="0" borderId="3" xfId="0" applyNumberFormat="1" applyFill="1" applyBorder="1"/>
    <xf numFmtId="38" fontId="0" fillId="0" borderId="3" xfId="0" applyNumberFormat="1" applyFill="1" applyBorder="1" applyAlignment="1">
      <alignment vertical="top"/>
    </xf>
    <xf numFmtId="3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38" fontId="4" fillId="2" borderId="0" xfId="0" applyNumberFormat="1" applyFont="1" applyFill="1" applyAlignment="1">
      <alignment vertical="top"/>
    </xf>
    <xf numFmtId="38" fontId="4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/>
    </xf>
    <xf numFmtId="38" fontId="4" fillId="2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38" fontId="0" fillId="0" borderId="2" xfId="0" applyNumberFormat="1" applyFill="1" applyBorder="1" applyAlignment="1">
      <alignment vertical="top"/>
    </xf>
    <xf numFmtId="38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/>
    <xf numFmtId="38" fontId="0" fillId="0" borderId="2" xfId="0" applyNumberFormat="1" applyFill="1" applyBorder="1" applyAlignment="1">
      <alignment wrapText="1"/>
    </xf>
    <xf numFmtId="38" fontId="0" fillId="0" borderId="4" xfId="0" applyNumberForma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38" fontId="0" fillId="0" borderId="4" xfId="0" applyNumberFormat="1" applyFill="1" applyBorder="1" applyAlignment="1">
      <alignment/>
    </xf>
    <xf numFmtId="0" fontId="4" fillId="0" borderId="2" xfId="0" applyFont="1" applyFill="1" applyBorder="1" applyAlignment="1" quotePrefix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38" fontId="0" fillId="0" borderId="5" xfId="0" applyNumberForma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38" fontId="4" fillId="2" borderId="6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38" fontId="0" fillId="0" borderId="0" xfId="0" applyNumberFormat="1" applyAlignment="1">
      <alignment vertical="top"/>
    </xf>
    <xf numFmtId="38" fontId="0" fillId="0" borderId="0" xfId="0" applyNumberFormat="1" applyFill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38" fontId="0" fillId="0" borderId="0" xfId="0" applyNumberFormat="1"/>
    <xf numFmtId="0" fontId="9" fillId="0" borderId="0" xfId="20"/>
    <xf numFmtId="38" fontId="0" fillId="0" borderId="0" xfId="0" applyNumberFormat="1" applyBorder="1" applyAlignment="1">
      <alignment vertical="top"/>
    </xf>
    <xf numFmtId="0" fontId="0" fillId="0" borderId="8" xfId="0" applyFill="1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38" fontId="0" fillId="0" borderId="8" xfId="0" applyNumberFormat="1" applyFill="1" applyBorder="1" applyAlignment="1">
      <alignment vertical="top"/>
    </xf>
    <xf numFmtId="3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38" fontId="0" fillId="0" borderId="0" xfId="0" applyNumberFormat="1" applyFill="1"/>
    <xf numFmtId="38" fontId="0" fillId="0" borderId="9" xfId="0" applyNumberFormat="1" applyFill="1" applyBorder="1" applyAlignment="1">
      <alignment vertical="top"/>
    </xf>
    <xf numFmtId="38" fontId="0" fillId="0" borderId="10" xfId="0" applyNumberFormat="1" applyFill="1" applyBorder="1" applyAlignment="1">
      <alignment vertical="top"/>
    </xf>
    <xf numFmtId="38" fontId="0" fillId="0" borderId="10" xfId="0" applyNumberFormat="1" applyFill="1" applyBorder="1" applyAlignment="1">
      <alignment/>
    </xf>
    <xf numFmtId="0" fontId="0" fillId="0" borderId="1" xfId="0" applyBorder="1" applyAlignment="1" quotePrefix="1">
      <alignment horizontal="left" vertical="top" wrapText="1"/>
    </xf>
    <xf numFmtId="0" fontId="0" fillId="3" borderId="1" xfId="0" applyFill="1" applyBorder="1" applyAlignment="1" quotePrefix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 quotePrefix="1">
      <alignment horizontal="left" vertical="top" wrapText="1"/>
    </xf>
    <xf numFmtId="38" fontId="0" fillId="0" borderId="11" xfId="0" applyNumberFormat="1" applyFill="1" applyBorder="1" applyAlignment="1">
      <alignment vertical="top"/>
    </xf>
    <xf numFmtId="0" fontId="0" fillId="0" borderId="1" xfId="0" applyBorder="1" applyAlignment="1" quotePrefix="1">
      <alignment vertical="top" wrapText="1"/>
    </xf>
    <xf numFmtId="0" fontId="0" fillId="0" borderId="2" xfId="0" applyFill="1" applyBorder="1" applyAlignment="1" quotePrefix="1">
      <alignment horizontal="left" vertical="top" wrapText="1"/>
    </xf>
    <xf numFmtId="0" fontId="0" fillId="3" borderId="1" xfId="0" applyFill="1" applyBorder="1" applyAlignment="1" quotePrefix="1">
      <alignment vertical="top" wrapText="1"/>
    </xf>
    <xf numFmtId="0" fontId="0" fillId="0" borderId="2" xfId="0" applyFont="1" applyFill="1" applyBorder="1" applyAlignment="1" quotePrefix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38" fontId="0" fillId="0" borderId="12" xfId="0" applyNumberFormat="1" applyFill="1" applyBorder="1" applyAlignment="1">
      <alignment vertical="top"/>
    </xf>
    <xf numFmtId="38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38" fontId="0" fillId="0" borderId="13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Fill="1" applyBorder="1" applyAlignment="1">
      <alignment horizontal="center" vertical="top"/>
    </xf>
    <xf numFmtId="0" fontId="0" fillId="0" borderId="1" xfId="0" applyFill="1" applyBorder="1" applyAlignment="1">
      <alignment wrapText="1"/>
    </xf>
    <xf numFmtId="38" fontId="9" fillId="0" borderId="0" xfId="20" applyNumberFormat="1"/>
    <xf numFmtId="0" fontId="4" fillId="0" borderId="8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 quotePrefix="1">
      <alignment horizontal="left" vertical="top" wrapText="1"/>
    </xf>
    <xf numFmtId="0" fontId="0" fillId="0" borderId="1" xfId="0" applyFill="1" applyBorder="1" applyAlignment="1" quotePrefix="1">
      <alignment horizontal="left" vertical="top" wrapText="1" indent="3"/>
    </xf>
    <xf numFmtId="0" fontId="4" fillId="0" borderId="14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38" fontId="0" fillId="0" borderId="0" xfId="0" applyNumberFormat="1" applyAlignment="1">
      <alignment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38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38" fontId="12" fillId="0" borderId="0" xfId="0" applyNumberFormat="1" applyFont="1" applyFill="1"/>
    <xf numFmtId="0" fontId="12" fillId="0" borderId="0" xfId="0" applyFont="1" applyFill="1"/>
    <xf numFmtId="41" fontId="0" fillId="0" borderId="1" xfId="0" applyNumberForma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38" fontId="0" fillId="0" borderId="1" xfId="0" applyNumberFormat="1" applyBorder="1" applyAlignment="1">
      <alignment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38" fontId="0" fillId="0" borderId="9" xfId="0" applyNumberFormat="1" applyBorder="1" applyAlignment="1">
      <alignment/>
    </xf>
    <xf numFmtId="38" fontId="0" fillId="0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38" fontId="0" fillId="0" borderId="0" xfId="0" applyNumberFormat="1" applyBorder="1" applyAlignment="1">
      <alignment/>
    </xf>
    <xf numFmtId="0" fontId="0" fillId="3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4" fillId="4" borderId="0" xfId="0" applyNumberFormat="1" applyFont="1" applyFill="1" applyBorder="1" applyAlignment="1">
      <alignment horizontal="center" vertical="top"/>
    </xf>
    <xf numFmtId="38" fontId="4" fillId="0" borderId="1" xfId="0" applyNumberFormat="1" applyFont="1" applyBorder="1" applyAlignment="1">
      <alignment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38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0" fillId="4" borderId="0" xfId="0" applyFill="1" applyBorder="1" applyAlignment="1">
      <alignment horizontal="center" vertical="top"/>
    </xf>
    <xf numFmtId="38" fontId="0" fillId="4" borderId="0" xfId="0" applyNumberFormat="1" applyFill="1" applyBorder="1" applyAlignment="1">
      <alignment vertical="top"/>
    </xf>
    <xf numFmtId="38" fontId="4" fillId="4" borderId="0" xfId="0" applyNumberFormat="1" applyFont="1" applyFill="1" applyBorder="1"/>
    <xf numFmtId="0" fontId="8" fillId="0" borderId="1" xfId="0" applyFont="1" applyFill="1" applyBorder="1" applyAlignment="1">
      <alignment horizontal="center" vertical="top"/>
    </xf>
    <xf numFmtId="38" fontId="4" fillId="0" borderId="1" xfId="0" applyNumberFormat="1" applyFont="1" applyBorder="1"/>
    <xf numFmtId="0" fontId="0" fillId="0" borderId="11" xfId="0" applyBorder="1" applyAlignment="1">
      <alignment vertical="top"/>
    </xf>
    <xf numFmtId="0" fontId="4" fillId="0" borderId="9" xfId="0" applyFont="1" applyFill="1" applyBorder="1" applyAlignment="1">
      <alignment vertical="top"/>
    </xf>
    <xf numFmtId="38" fontId="0" fillId="0" borderId="10" xfId="0" applyNumberFormat="1" applyBorder="1" applyAlignment="1">
      <alignment/>
    </xf>
    <xf numFmtId="0" fontId="0" fillId="4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38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 wrapText="1"/>
    </xf>
    <xf numFmtId="0" fontId="0" fillId="4" borderId="0" xfId="0" applyFill="1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38" fontId="0" fillId="3" borderId="1" xfId="0" applyNumberForma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38" fontId="4" fillId="3" borderId="1" xfId="0" applyNumberFormat="1" applyFont="1" applyFill="1" applyBorder="1" applyAlignment="1">
      <alignment/>
    </xf>
    <xf numFmtId="0" fontId="4" fillId="0" borderId="9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38" fontId="7" fillId="0" borderId="1" xfId="0" applyNumberFormat="1" applyFont="1" applyBorder="1" applyAlignment="1">
      <alignment vertical="top"/>
    </xf>
    <xf numFmtId="38" fontId="7" fillId="0" borderId="1" xfId="0" applyNumberFormat="1" applyFont="1" applyFill="1" applyBorder="1" applyAlignment="1">
      <alignment/>
    </xf>
    <xf numFmtId="38" fontId="11" fillId="0" borderId="1" xfId="0" applyNumberFormat="1" applyFont="1" applyFill="1" applyBorder="1" applyAlignment="1">
      <alignment/>
    </xf>
    <xf numFmtId="38" fontId="4" fillId="0" borderId="1" xfId="0" applyNumberFormat="1" applyFont="1" applyBorder="1" applyAlignment="1">
      <alignment vertical="top"/>
    </xf>
    <xf numFmtId="38" fontId="0" fillId="2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38" fontId="0" fillId="0" borderId="0" xfId="0" applyNumberFormat="1" applyBorder="1"/>
    <xf numFmtId="38" fontId="0" fillId="2" borderId="19" xfId="0" applyNumberFormat="1" applyFill="1" applyBorder="1"/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38" fontId="0" fillId="0" borderId="21" xfId="0" applyNumberFormat="1" applyFill="1" applyBorder="1" applyAlignment="1">
      <alignment vertical="top"/>
    </xf>
    <xf numFmtId="0" fontId="0" fillId="0" borderId="22" xfId="0" applyBorder="1"/>
    <xf numFmtId="0" fontId="0" fillId="0" borderId="23" xfId="0" applyFill="1" applyBorder="1"/>
    <xf numFmtId="0" fontId="0" fillId="0" borderId="24" xfId="0" applyBorder="1"/>
    <xf numFmtId="0" fontId="4" fillId="0" borderId="25" xfId="0" applyFont="1" applyBorder="1" applyAlignment="1">
      <alignment vertical="top" wrapText="1"/>
    </xf>
    <xf numFmtId="38" fontId="0" fillId="0" borderId="25" xfId="0" applyNumberFormat="1" applyFill="1" applyBorder="1" applyAlignment="1">
      <alignment vertical="top"/>
    </xf>
    <xf numFmtId="0" fontId="0" fillId="0" borderId="22" xfId="0" applyFill="1" applyBorder="1"/>
    <xf numFmtId="38" fontId="0" fillId="0" borderId="22" xfId="0" applyNumberFormat="1" applyBorder="1"/>
    <xf numFmtId="38" fontId="0" fillId="2" borderId="22" xfId="0" applyNumberFormat="1" applyFill="1" applyBorder="1"/>
    <xf numFmtId="38" fontId="0" fillId="2" borderId="26" xfId="0" applyNumberFormat="1" applyFill="1" applyBorder="1"/>
    <xf numFmtId="0" fontId="0" fillId="0" borderId="27" xfId="0" applyBorder="1" applyAlignment="1" quotePrefix="1">
      <alignment horizontal="left" vertical="top" wrapText="1"/>
    </xf>
    <xf numFmtId="0" fontId="0" fillId="0" borderId="27" xfId="0" applyFill="1" applyBorder="1" applyAlignment="1" quotePrefix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2" borderId="18" xfId="0" applyFill="1" applyBorder="1"/>
    <xf numFmtId="0" fontId="4" fillId="0" borderId="27" xfId="0" applyFont="1" applyBorder="1" applyAlignment="1">
      <alignment vertical="top" wrapText="1"/>
    </xf>
    <xf numFmtId="0" fontId="0" fillId="2" borderId="19" xfId="0" applyFill="1" applyBorder="1"/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top" wrapText="1"/>
    </xf>
    <xf numFmtId="38" fontId="0" fillId="0" borderId="22" xfId="0" applyNumberFormat="1" applyFill="1" applyBorder="1" applyAlignment="1">
      <alignment vertical="top"/>
    </xf>
    <xf numFmtId="9" fontId="0" fillId="0" borderId="0" xfId="0" applyNumberFormat="1" applyFill="1"/>
    <xf numFmtId="8" fontId="0" fillId="0" borderId="0" xfId="0" applyNumberFormat="1"/>
    <xf numFmtId="8" fontId="0" fillId="0" borderId="0" xfId="0" applyNumberFormat="1" applyFill="1"/>
    <xf numFmtId="165" fontId="0" fillId="0" borderId="0" xfId="18" applyNumberFormat="1" applyFont="1"/>
    <xf numFmtId="0" fontId="0" fillId="0" borderId="19" xfId="0" applyBorder="1"/>
    <xf numFmtId="0" fontId="0" fillId="0" borderId="29" xfId="0" applyBorder="1"/>
    <xf numFmtId="38" fontId="0" fillId="0" borderId="30" xfId="0" applyNumberFormat="1" applyBorder="1"/>
    <xf numFmtId="38" fontId="0" fillId="0" borderId="31" xfId="0" applyNumberFormat="1" applyBorder="1"/>
    <xf numFmtId="0" fontId="4" fillId="0" borderId="29" xfId="0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30" xfId="0" applyBorder="1"/>
    <xf numFmtId="0" fontId="0" fillId="0" borderId="31" xfId="0" applyBorder="1"/>
    <xf numFmtId="0" fontId="0" fillId="2" borderId="29" xfId="0" applyFill="1" applyBorder="1"/>
    <xf numFmtId="38" fontId="0" fillId="2" borderId="30" xfId="0" applyNumberFormat="1" applyFill="1" applyBorder="1"/>
    <xf numFmtId="38" fontId="0" fillId="2" borderId="31" xfId="0" applyNumberFormat="1" applyFill="1" applyBorder="1"/>
    <xf numFmtId="0" fontId="4" fillId="2" borderId="29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29" xfId="0" applyFont="1" applyFill="1" applyBorder="1"/>
    <xf numFmtId="38" fontId="4" fillId="2" borderId="30" xfId="0" applyNumberFormat="1" applyFont="1" applyFill="1" applyBorder="1"/>
    <xf numFmtId="38" fontId="4" fillId="2" borderId="31" xfId="0" applyNumberFormat="1" applyFont="1" applyFill="1" applyBorder="1"/>
    <xf numFmtId="0" fontId="4" fillId="0" borderId="0" xfId="0" applyFont="1" applyAlignment="1">
      <alignment horizontal="center"/>
    </xf>
    <xf numFmtId="0" fontId="7" fillId="0" borderId="29" xfId="0" applyFont="1" applyBorder="1"/>
    <xf numFmtId="38" fontId="0" fillId="0" borderId="24" xfId="0" applyNumberFormat="1" applyBorder="1"/>
    <xf numFmtId="38" fontId="0" fillId="0" borderId="15" xfId="0" applyNumberFormat="1" applyBorder="1"/>
    <xf numFmtId="38" fontId="0" fillId="0" borderId="23" xfId="0" applyNumberFormat="1" applyBorder="1"/>
    <xf numFmtId="0" fontId="15" fillId="0" borderId="0" xfId="0" applyFont="1"/>
    <xf numFmtId="0" fontId="4" fillId="0" borderId="33" xfId="0" applyFont="1" applyBorder="1" applyAlignment="1">
      <alignment horizontal="center"/>
    </xf>
    <xf numFmtId="38" fontId="4" fillId="2" borderId="34" xfId="0" applyNumberFormat="1" applyFont="1" applyFill="1" applyBorder="1"/>
    <xf numFmtId="38" fontId="0" fillId="0" borderId="34" xfId="0" applyNumberFormat="1" applyBorder="1"/>
    <xf numFmtId="0" fontId="0" fillId="0" borderId="34" xfId="0" applyBorder="1"/>
    <xf numFmtId="38" fontId="0" fillId="2" borderId="34" xfId="0" applyNumberFormat="1" applyFill="1" applyBorder="1"/>
    <xf numFmtId="9" fontId="0" fillId="0" borderId="0" xfId="0" applyNumberFormat="1"/>
    <xf numFmtId="38" fontId="0" fillId="0" borderId="0" xfId="0" applyNumberFormat="1" applyFill="1" applyBorder="1"/>
    <xf numFmtId="38" fontId="0" fillId="0" borderId="26" xfId="0" applyNumberFormat="1" applyBorder="1"/>
    <xf numFmtId="38" fontId="0" fillId="0" borderId="32" xfId="0" applyNumberFormat="1" applyBorder="1"/>
    <xf numFmtId="0" fontId="0" fillId="0" borderId="29" xfId="0" applyFill="1" applyBorder="1"/>
    <xf numFmtId="38" fontId="0" fillId="0" borderId="30" xfId="0" applyNumberFormat="1" applyFill="1" applyBorder="1"/>
    <xf numFmtId="38" fontId="0" fillId="0" borderId="31" xfId="0" applyNumberForma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/>
    <xf numFmtId="38" fontId="0" fillId="0" borderId="33" xfId="0" applyNumberFormat="1" applyBorder="1"/>
    <xf numFmtId="38" fontId="0" fillId="0" borderId="34" xfId="0" applyNumberFormat="1" applyFill="1" applyBorder="1"/>
    <xf numFmtId="0" fontId="17" fillId="0" borderId="29" xfId="0" applyFont="1" applyBorder="1"/>
    <xf numFmtId="38" fontId="17" fillId="0" borderId="30" xfId="0" applyNumberFormat="1" applyFont="1" applyBorder="1"/>
    <xf numFmtId="38" fontId="17" fillId="0" borderId="31" xfId="0" applyNumberFormat="1" applyFont="1" applyBorder="1"/>
    <xf numFmtId="0" fontId="4" fillId="0" borderId="0" xfId="0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38" fontId="17" fillId="0" borderId="34" xfId="0" applyNumberFormat="1" applyFont="1" applyBorder="1"/>
    <xf numFmtId="0" fontId="17" fillId="0" borderId="29" xfId="0" applyFont="1" applyFill="1" applyBorder="1"/>
    <xf numFmtId="38" fontId="17" fillId="0" borderId="30" xfId="0" applyNumberFormat="1" applyFont="1" applyFill="1" applyBorder="1"/>
    <xf numFmtId="38" fontId="17" fillId="0" borderId="31" xfId="0" applyNumberFormat="1" applyFont="1" applyFill="1" applyBorder="1"/>
    <xf numFmtId="0" fontId="17" fillId="0" borderId="0" xfId="0" applyFont="1" applyFill="1" applyBorder="1"/>
    <xf numFmtId="38" fontId="17" fillId="0" borderId="34" xfId="0" applyNumberFormat="1" applyFont="1" applyFill="1" applyBorder="1"/>
    <xf numFmtId="0" fontId="0" fillId="0" borderId="17" xfId="0" applyFill="1" applyBorder="1"/>
    <xf numFmtId="38" fontId="0" fillId="0" borderId="24" xfId="0" applyNumberFormat="1" applyFill="1" applyBorder="1"/>
    <xf numFmtId="38" fontId="0" fillId="0" borderId="15" xfId="0" applyNumberFormat="1" applyFill="1" applyBorder="1"/>
    <xf numFmtId="38" fontId="0" fillId="0" borderId="16" xfId="0" applyNumberFormat="1" applyFill="1" applyBorder="1"/>
    <xf numFmtId="0" fontId="0" fillId="0" borderId="29" xfId="0" applyFont="1" applyBorder="1" applyAlignment="1">
      <alignment vertical="top" wrapText="1"/>
    </xf>
    <xf numFmtId="0" fontId="0" fillId="0" borderId="19" xfId="0" applyFill="1" applyBorder="1"/>
    <xf numFmtId="38" fontId="0" fillId="0" borderId="26" xfId="0" applyNumberFormat="1" applyFill="1" applyBorder="1"/>
    <xf numFmtId="0" fontId="4" fillId="0" borderId="0" xfId="0" applyFont="1" applyBorder="1"/>
    <xf numFmtId="0" fontId="4" fillId="2" borderId="18" xfId="0" applyFont="1" applyFill="1" applyBorder="1"/>
    <xf numFmtId="38" fontId="4" fillId="2" borderId="22" xfId="0" applyNumberFormat="1" applyFont="1" applyFill="1" applyBorder="1"/>
    <xf numFmtId="38" fontId="4" fillId="2" borderId="23" xfId="0" applyNumberFormat="1" applyFont="1" applyFill="1" applyBorder="1"/>
    <xf numFmtId="38" fontId="4" fillId="2" borderId="0" xfId="0" applyNumberFormat="1" applyFont="1" applyFill="1" applyBorder="1"/>
    <xf numFmtId="0" fontId="16" fillId="0" borderId="0" xfId="0" applyFont="1" applyFill="1"/>
    <xf numFmtId="0" fontId="0" fillId="5" borderId="0" xfId="0" applyFill="1" applyBorder="1"/>
    <xf numFmtId="38" fontId="0" fillId="5" borderId="0" xfId="0" applyNumberFormat="1" applyFill="1" applyBorder="1"/>
    <xf numFmtId="0" fontId="4" fillId="6" borderId="29" xfId="0" applyFont="1" applyFill="1" applyBorder="1"/>
    <xf numFmtId="38" fontId="4" fillId="7" borderId="30" xfId="0" applyNumberFormat="1" applyFont="1" applyFill="1" applyBorder="1"/>
    <xf numFmtId="38" fontId="4" fillId="7" borderId="31" xfId="0" applyNumberFormat="1" applyFont="1" applyFill="1" applyBorder="1"/>
    <xf numFmtId="6" fontId="0" fillId="0" borderId="0" xfId="0" applyNumberFormat="1"/>
    <xf numFmtId="0" fontId="11" fillId="0" borderId="29" xfId="0" applyFont="1" applyBorder="1"/>
    <xf numFmtId="38" fontId="4" fillId="6" borderId="35" xfId="0" applyNumberFormat="1" applyFont="1" applyFill="1" applyBorder="1"/>
    <xf numFmtId="0" fontId="20" fillId="0" borderId="29" xfId="0" applyFont="1" applyBorder="1"/>
    <xf numFmtId="0" fontId="0" fillId="8" borderId="0" xfId="0" applyFill="1"/>
    <xf numFmtId="38" fontId="0" fillId="8" borderId="0" xfId="0" applyNumberFormat="1" applyFill="1"/>
    <xf numFmtId="0" fontId="0" fillId="0" borderId="29" xfId="0" applyFont="1" applyBorder="1"/>
    <xf numFmtId="0" fontId="0" fillId="9" borderId="0" xfId="0" applyFill="1"/>
    <xf numFmtId="38" fontId="0" fillId="9" borderId="0" xfId="0" applyNumberFormat="1" applyFill="1"/>
    <xf numFmtId="0" fontId="4" fillId="0" borderId="17" xfId="0" applyFont="1" applyBorder="1" applyAlignment="1">
      <alignment vertical="top" wrapText="1"/>
    </xf>
    <xf numFmtId="0" fontId="21" fillId="0" borderId="29" xfId="0" applyFont="1" applyBorder="1"/>
    <xf numFmtId="0" fontId="0" fillId="0" borderId="29" xfId="0" applyFont="1" applyFill="1" applyBorder="1"/>
    <xf numFmtId="166" fontId="0" fillId="0" borderId="0" xfId="16" applyNumberFormat="1" applyFont="1"/>
    <xf numFmtId="166" fontId="0" fillId="0" borderId="0" xfId="0" applyNumberFormat="1"/>
    <xf numFmtId="0" fontId="0" fillId="0" borderId="24" xfId="0" applyFill="1" applyBorder="1"/>
    <xf numFmtId="38" fontId="0" fillId="0" borderId="29" xfId="0" applyNumberFormat="1" applyBorder="1"/>
    <xf numFmtId="0" fontId="0" fillId="0" borderId="30" xfId="0" applyFill="1" applyBorder="1"/>
    <xf numFmtId="38" fontId="0" fillId="0" borderId="32" xfId="0" applyNumberFormat="1" applyFill="1" applyBorder="1"/>
    <xf numFmtId="0" fontId="0" fillId="0" borderId="26" xfId="0" applyFill="1" applyBorder="1"/>
    <xf numFmtId="38" fontId="0" fillId="10" borderId="36" xfId="0" applyNumberFormat="1" applyFill="1" applyBorder="1"/>
    <xf numFmtId="38" fontId="0" fillId="10" borderId="37" xfId="0" applyNumberFormat="1" applyFill="1" applyBorder="1"/>
    <xf numFmtId="0" fontId="0" fillId="10" borderId="37" xfId="0" applyFill="1" applyBorder="1"/>
    <xf numFmtId="0" fontId="0" fillId="10" borderId="38" xfId="0" applyFill="1" applyBorder="1"/>
    <xf numFmtId="0" fontId="0" fillId="10" borderId="0" xfId="0" applyFill="1" applyBorder="1"/>
    <xf numFmtId="0" fontId="0" fillId="2" borderId="0" xfId="0" applyFill="1" applyBorder="1"/>
    <xf numFmtId="38" fontId="0" fillId="0" borderId="39" xfId="0" applyNumberFormat="1" applyBorder="1"/>
    <xf numFmtId="38" fontId="0" fillId="0" borderId="40" xfId="0" applyNumberFormat="1" applyBorder="1"/>
    <xf numFmtId="0" fontId="0" fillId="0" borderId="40" xfId="0" applyFill="1" applyBorder="1"/>
    <xf numFmtId="0" fontId="0" fillId="0" borderId="41" xfId="0" applyFill="1" applyBorder="1"/>
    <xf numFmtId="38" fontId="0" fillId="0" borderId="19" xfId="0" applyNumberFormat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2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38" fontId="16" fillId="0" borderId="0" xfId="0" applyNumberFormat="1" applyFont="1"/>
    <xf numFmtId="0" fontId="0" fillId="11" borderId="0" xfId="0" applyFill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 vertical="top"/>
    </xf>
    <xf numFmtId="38" fontId="0" fillId="0" borderId="1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75"/>
          <c:y val="0.278"/>
          <c:w val="0.465"/>
          <c:h val="0.65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7"/>
                  <c:y val="-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Preserve Current Level of Operations &amp; Maintenance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7172aa-c686-4866-9784-dd199f45898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4745710e-7544-4d0f-a3c6-3a3ee52ee57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173"/>
                  <c:y val="-0.08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Maintain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 2019-2020 Levels of Core Countywide Safety and Preservation Programs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2525"/>
                  <c:y val="0.05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Bridge Replacement 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5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Intersections and Safety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Improvements</a:t>
                    </a:r>
                    <a:fld id="{d892ade4-9f22-4f5c-a2fc-d5fe79327e2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9"/>
                  <c:y val="-0.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Grant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Match to Leverage $40 Million Additional Funding</a:t>
                    </a:r>
                    <a:fld id="{4c6936c5-ce8f-4cc6-9387-ce3310e110f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275"/>
                  <c:y val="-0.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Bridge Upgrade Program</a:t>
                    </a:r>
                    <a:fld id="{8afe4985-84a5-4395-a2b2-76a8e745281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'Chart usage of funds &gt; 2030'!$C$5:$C$11</c:f>
              <c:strCache/>
            </c:strRef>
          </c:cat>
          <c:val>
            <c:numRef>
              <c:f>'Chart usage of funds &gt; 2030'!$D$5:$D$11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Ten Years of Stability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Operations, Maintenance, Core Preservation and Safety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 Programs  held at 2019 - 2020 Service Levels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6 New Bridge Replacements, 6 Intersection, Safety Projects, New Bridge Upgrade Program, Additional 50-60 Centerlane Miles of Paving</a:t>
            </a:r>
          </a:p>
        </c:rich>
      </c:tx>
      <c:layout>
        <c:manualLayout>
          <c:xMode val="edge"/>
          <c:yMode val="edge"/>
          <c:x val="0.089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75"/>
          <c:y val="0.2205"/>
          <c:w val="0.91775"/>
          <c:h val="0.6155"/>
        </c:manualLayout>
      </c:layout>
      <c:areaChart>
        <c:grouping val="standar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Current Planned Operating Transfer to Capital</c:v>
                </c:pt>
              </c:strCache>
            </c:strRef>
          </c:tx>
          <c:spPr>
            <a:solidFill>
              <a:srgbClr val="FF8989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Data'!$C$3:$N$3</c:f>
              <c:numCache/>
            </c:numRef>
          </c:val>
        </c:ser>
        <c:ser>
          <c:idx val="1"/>
          <c:order val="1"/>
          <c:tx>
            <c:strRef>
              <c:f>'Graph Data'!$B$10</c:f>
              <c:strCache>
                <c:ptCount val="1"/>
                <c:pt idx="0">
                  <c:v>Future Operating Shortfall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Data'!$C$10:$N$10</c:f>
              <c:numCache/>
            </c:numRef>
          </c:val>
        </c:ser>
        <c:axId val="5278364"/>
        <c:axId val="47505277"/>
      </c:areaChart>
      <c:barChart>
        <c:barDir val="col"/>
        <c:grouping val="stacked"/>
        <c:varyColors val="0"/>
        <c:ser>
          <c:idx val="4"/>
          <c:order val="2"/>
          <c:tx>
            <c:strRef>
              <c:f>'Graph Data'!$B$11</c:f>
              <c:strCache>
                <c:ptCount val="1"/>
                <c:pt idx="0">
                  <c:v>Addition to Operations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Data'!$C$12:$N$12</c:f>
              <c:numCache/>
            </c:numRef>
          </c:val>
        </c:ser>
        <c:ser>
          <c:idx val="5"/>
          <c:order val="3"/>
          <c:tx>
            <c:strRef>
              <c:f>'Graph Data'!$B$7</c:f>
              <c:strCache>
                <c:ptCount val="1"/>
                <c:pt idx="0">
                  <c:v>Addition to Existing CIP Funding</c:v>
                </c:pt>
              </c:strCache>
            </c:strRef>
          </c:tx>
          <c:spPr>
            <a:solidFill>
              <a:srgbClr val="FFC1C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.0,,&quot; M&quot;;[Red]\-&quot;$&quot;#.0,,&quot; M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Data'!$C$7:$N$7</c:f>
              <c:numCache/>
            </c:numRef>
          </c:val>
        </c:ser>
        <c:ser>
          <c:idx val="6"/>
          <c:order val="4"/>
          <c:tx>
            <c:strRef>
              <c:f>'Graph Data'!$B$11</c:f>
              <c:strCache>
                <c:ptCount val="1"/>
                <c:pt idx="0">
                  <c:v>Addition to Operations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.0,,&quot; M&quot;;[Red]\-&quot;$&quot;#.0,,&quot; M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Data'!$C$11:$N$11</c:f>
              <c:numCache/>
            </c:numRef>
          </c:val>
        </c:ser>
        <c:overlap val="100"/>
        <c:gapWidth val="314"/>
        <c:axId val="5278364"/>
        <c:axId val="47505277"/>
      </c:barChart>
      <c:lineChart>
        <c:grouping val="standard"/>
        <c:varyColors val="0"/>
        <c:ser>
          <c:idx val="3"/>
          <c:order val="5"/>
          <c:tx>
            <c:strRef>
              <c:f>'Graph Data'!$B$9</c:f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Data'!$C$9:$N$9</c:f>
              <c:numCache/>
            </c:numRef>
          </c:val>
          <c:smooth val="0"/>
        </c:ser>
        <c:ser>
          <c:idx val="2"/>
          <c:order val="6"/>
          <c:tx>
            <c:strRef>
              <c:f>'Graph Data'!$B$8</c:f>
              <c:strCache>
                <c:ptCount val="1"/>
                <c:pt idx="0">
                  <c:v>Capital Funding</c:v>
                </c:pt>
              </c:strCache>
            </c:strRef>
          </c:tx>
          <c:spPr>
            <a:ln w="28575" cap="rnd">
              <a:solidFill>
                <a:srgbClr val="FF898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Data'!$C$8:$N$8</c:f>
              <c:numCache/>
            </c:numRef>
          </c:val>
          <c:smooth val="0"/>
        </c:ser>
        <c:axId val="5278364"/>
        <c:axId val="47505277"/>
      </c:lineChart>
      <c:catAx>
        <c:axId val="527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505277"/>
        <c:crossesAt val="0"/>
        <c:auto val="1"/>
        <c:lblOffset val="0"/>
        <c:noMultiLvlLbl val="0"/>
      </c:catAx>
      <c:valAx>
        <c:axId val="47505277"/>
        <c:scaling>
          <c:orientation val="minMax"/>
          <c:max val="25000000"/>
          <c:min val="-200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.0,,&quot; M&quot;;[Red]\-&quot;$&quot;#.0,,&quot; M&quot;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78364"/>
        <c:crossesAt val="1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28"/>
          <c:y val="0.869"/>
          <c:w val="0.95275"/>
          <c:h val="0.08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workbookViewId="0" zoomScale="85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14</xdr:row>
      <xdr:rowOff>19050</xdr:rowOff>
    </xdr:from>
    <xdr:to>
      <xdr:col>12</xdr:col>
      <xdr:colOff>152400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1962150" y="2686050"/>
        <a:ext cx="9477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0.121</cdr:y>
    </cdr:from>
    <cdr:to>
      <cdr:x>0.9585</cdr:x>
      <cdr:y>0.1655</cdr:y>
    </cdr:to>
    <cdr:sp macro="" textlink="">
      <cdr:nvSpPr>
        <cdr:cNvPr id="2" name="Left Brace 1"/>
        <cdr:cNvSpPr/>
      </cdr:nvSpPr>
      <cdr:spPr>
        <a:xfrm rot="5400000">
          <a:off x="1943100" y="752475"/>
          <a:ext cx="6353175" cy="276225"/>
        </a:xfrm>
        <a:prstGeom prst="leftBrace">
          <a:avLst>
            <a:gd name="adj1" fmla="val 8333"/>
            <a:gd name="adj2" fmla="val 49790"/>
          </a:avLst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0.1135</cdr:x>
      <cdr:y>0.57575</cdr:y>
    </cdr:from>
    <cdr:to>
      <cdr:x>0.38625</cdr:x>
      <cdr:y>0.68075</cdr:y>
    </cdr:to>
    <cdr:sp macro="" textlink="">
      <cdr:nvSpPr>
        <cdr:cNvPr id="3" name="TextBox 2"/>
        <cdr:cNvSpPr txBox="1"/>
      </cdr:nvSpPr>
      <cdr:spPr>
        <a:xfrm>
          <a:off x="981075" y="3609975"/>
          <a:ext cx="2362200" cy="657225"/>
        </a:xfrm>
        <a:prstGeom prst="rect">
          <a:avLst/>
        </a:prstGeom>
        <a:ln>
          <a:noFill/>
        </a:ln>
      </cdr:spPr>
      <cdr:txBody>
        <a:bodyPr vertOverflow="clip" horzOverflow="clip" wrap="square" rtlCol="0"/>
        <a:lstStyle/>
        <a:p>
          <a:r>
            <a:rPr lang="en-US" sz="1100"/>
            <a:t>In the current 6 year plan, </a:t>
          </a:r>
          <a:r>
            <a:rPr lang="en-US" sz="1100" baseline="0"/>
            <a:t>Roads funding for capital decreases and ends after 2024.</a:t>
          </a:r>
          <a:endParaRPr lang="en-US" sz="1100"/>
        </a:p>
      </cdr:txBody>
    </cdr:sp>
  </cdr:relSizeAnchor>
  <cdr:relSizeAnchor xmlns:cdr="http://schemas.openxmlformats.org/drawingml/2006/chartDrawing">
    <cdr:from>
      <cdr:x>0.567</cdr:x>
      <cdr:y>0.66475</cdr:y>
    </cdr:from>
    <cdr:to>
      <cdr:x>0.79575</cdr:x>
      <cdr:y>0.81025</cdr:y>
    </cdr:to>
    <cdr:sp macro="" textlink="">
      <cdr:nvSpPr>
        <cdr:cNvPr id="4" name="TextBox 3"/>
        <cdr:cNvSpPr txBox="1"/>
      </cdr:nvSpPr>
      <cdr:spPr>
        <a:xfrm>
          <a:off x="4905375" y="4171950"/>
          <a:ext cx="1981200" cy="914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Without additional</a:t>
          </a:r>
          <a:r>
            <a:rPr lang="en-US" sz="1100" baseline="0"/>
            <a:t> funding, reductions will be required to the current level of Roads Operations and Maintenance after 2025.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otema\AppData\Local\Microsoft\Windows\INetCache\Content.Outlook\APDJL9K5\2019%202020%20proposed%20budget%20CIP%20Fin%20Plan%2011-13-2018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Finance\MGMT\Funding\Council%20Transmit%2002_26_20\Bridge%20Graph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%20BRIDGES%206%20YEARS%2020YRDEB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6-29-2018a"/>
      <sheetName val="Changes Original to Adopted"/>
      <sheetName val="Adopted 11-13-2018"/>
    </sheetNames>
    <sheetDataSet>
      <sheetData sheetId="0">
        <row r="57">
          <cell r="D57">
            <v>3500000</v>
          </cell>
          <cell r="E57">
            <v>3500000</v>
          </cell>
          <cell r="F57">
            <v>3100000</v>
          </cell>
          <cell r="G57">
            <v>3500000</v>
          </cell>
          <cell r="H57">
            <v>2350000</v>
          </cell>
          <cell r="I57">
            <v>2350000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0 Scenario Graph WG"/>
    </sheetNames>
    <sheetDataSet>
      <sheetData sheetId="0" refreshError="1"/>
      <sheetData sheetId="1">
        <row r="4">
          <cell r="J4">
            <v>2019</v>
          </cell>
          <cell r="K4">
            <v>2020</v>
          </cell>
          <cell r="L4">
            <v>2021</v>
          </cell>
          <cell r="M4">
            <v>2022</v>
          </cell>
          <cell r="N4">
            <v>2023</v>
          </cell>
          <cell r="O4">
            <v>2024</v>
          </cell>
          <cell r="P4">
            <v>2025</v>
          </cell>
          <cell r="Q4">
            <v>2026</v>
          </cell>
          <cell r="R4">
            <v>2027</v>
          </cell>
          <cell r="S4">
            <v>2028</v>
          </cell>
          <cell r="T4">
            <v>2029</v>
          </cell>
          <cell r="U4">
            <v>2030</v>
          </cell>
          <cell r="V4">
            <v>2031</v>
          </cell>
          <cell r="W4">
            <v>2032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16"/>
  <sheetViews>
    <sheetView showGridLines="0" tabSelected="1" zoomScale="90" zoomScaleNormal="90" workbookViewId="0" topLeftCell="A13">
      <selection activeCell="M37" sqref="M37"/>
    </sheetView>
  </sheetViews>
  <sheetFormatPr defaultColWidth="9.140625" defaultRowHeight="15"/>
  <cols>
    <col min="1" max="1" width="14.57421875" style="0" customWidth="1"/>
    <col min="2" max="2" width="79.00390625" style="0" customWidth="1"/>
    <col min="3" max="3" width="9.28125" style="0" customWidth="1"/>
    <col min="4" max="4" width="5.57421875" style="0" hidden="1" customWidth="1"/>
    <col min="5" max="5" width="11.57421875" style="0" bestFit="1" customWidth="1"/>
    <col min="6" max="14" width="15.00390625" style="0" customWidth="1"/>
    <col min="15" max="15" width="4.57421875" style="0" customWidth="1"/>
    <col min="16" max="16" width="17.140625" style="0" customWidth="1"/>
    <col min="17" max="17" width="19.00390625" style="0" customWidth="1"/>
    <col min="19" max="19" width="10.8515625" style="0" bestFit="1" customWidth="1"/>
  </cols>
  <sheetData>
    <row r="1" ht="23.25">
      <c r="A1" s="236" t="s">
        <v>269</v>
      </c>
    </row>
    <row r="2" ht="15">
      <c r="A2" t="s">
        <v>299</v>
      </c>
    </row>
    <row r="5" spans="2:20" ht="27" customHeight="1">
      <c r="B5" s="214"/>
      <c r="C5" s="317" t="s">
        <v>289</v>
      </c>
      <c r="D5" s="226"/>
      <c r="E5" s="226">
        <v>2021</v>
      </c>
      <c r="F5" s="226">
        <v>2022</v>
      </c>
      <c r="G5" s="226">
        <v>2023</v>
      </c>
      <c r="H5" s="226">
        <v>2024</v>
      </c>
      <c r="I5" s="226">
        <v>2025</v>
      </c>
      <c r="J5" s="226">
        <v>2026</v>
      </c>
      <c r="K5" s="226">
        <v>2027</v>
      </c>
      <c r="L5" s="227">
        <v>2028</v>
      </c>
      <c r="M5" s="227">
        <v>2029</v>
      </c>
      <c r="N5" s="227">
        <v>2030</v>
      </c>
      <c r="O5" s="130"/>
      <c r="P5" s="237" t="s">
        <v>4</v>
      </c>
      <c r="R5" s="47"/>
      <c r="S5" s="47"/>
      <c r="T5" s="47"/>
    </row>
    <row r="6" spans="1:20" ht="15">
      <c r="A6" s="231" t="s">
        <v>207</v>
      </c>
      <c r="B6" s="228" t="s">
        <v>268</v>
      </c>
      <c r="C6" s="228"/>
      <c r="D6" s="228"/>
      <c r="E6" s="229">
        <v>21300000</v>
      </c>
      <c r="F6" s="229">
        <v>22000000</v>
      </c>
      <c r="G6" s="229">
        <v>21000000</v>
      </c>
      <c r="H6" s="229">
        <v>24000000</v>
      </c>
      <c r="I6" s="229">
        <v>15700000</v>
      </c>
      <c r="J6" s="229">
        <v>18400000</v>
      </c>
      <c r="K6" s="229">
        <v>21200000</v>
      </c>
      <c r="L6" s="230">
        <v>21500000</v>
      </c>
      <c r="M6" s="230">
        <v>22500000</v>
      </c>
      <c r="N6" s="230">
        <v>23500000</v>
      </c>
      <c r="O6" s="130"/>
      <c r="P6" s="238">
        <f>SUM(E6:O6)</f>
        <v>211100000</v>
      </c>
      <c r="Q6" s="251"/>
      <c r="R6" s="47"/>
      <c r="S6" s="47"/>
      <c r="T6" s="47"/>
    </row>
    <row r="7" spans="1:20" ht="15">
      <c r="A7" s="231"/>
      <c r="B7" s="232" t="s">
        <v>211</v>
      </c>
      <c r="C7" s="232"/>
      <c r="D7" s="232"/>
      <c r="E7" s="216"/>
      <c r="F7" s="216"/>
      <c r="G7" s="216"/>
      <c r="H7" s="216"/>
      <c r="I7" s="216"/>
      <c r="J7" s="216"/>
      <c r="K7" s="216"/>
      <c r="L7" s="217"/>
      <c r="M7" s="217"/>
      <c r="N7" s="217"/>
      <c r="O7" s="130"/>
      <c r="P7" s="239"/>
      <c r="Q7" s="251"/>
      <c r="R7" s="47"/>
      <c r="S7" s="47"/>
      <c r="T7" s="47"/>
    </row>
    <row r="8" spans="1:20" ht="15">
      <c r="A8" s="231"/>
      <c r="B8" s="215" t="s">
        <v>240</v>
      </c>
      <c r="C8" s="215"/>
      <c r="D8" s="215"/>
      <c r="E8" s="216">
        <v>0</v>
      </c>
      <c r="F8" s="216">
        <v>0</v>
      </c>
      <c r="G8" s="216">
        <v>0</v>
      </c>
      <c r="H8" s="216">
        <v>0</v>
      </c>
      <c r="I8" s="216">
        <v>300000</v>
      </c>
      <c r="J8" s="216">
        <v>3500000</v>
      </c>
      <c r="K8" s="216">
        <v>6000000</v>
      </c>
      <c r="L8" s="217">
        <v>9300000</v>
      </c>
      <c r="M8" s="217">
        <v>12300000</v>
      </c>
      <c r="N8" s="217">
        <f>+M8+3000000</f>
        <v>15300000</v>
      </c>
      <c r="O8" s="130"/>
      <c r="P8" s="239">
        <f aca="true" t="shared" si="0" ref="P8:P10">SUM(E8:O8)</f>
        <v>46700000</v>
      </c>
      <c r="Q8" s="251"/>
      <c r="R8" s="47"/>
      <c r="S8" s="47"/>
      <c r="T8" s="47"/>
    </row>
    <row r="9" spans="1:20" ht="15">
      <c r="A9" s="231"/>
      <c r="B9" s="288"/>
      <c r="C9" s="215"/>
      <c r="D9" s="215"/>
      <c r="E9" s="216"/>
      <c r="F9" s="216"/>
      <c r="G9" s="216"/>
      <c r="H9" s="216"/>
      <c r="I9" s="216"/>
      <c r="J9" s="216"/>
      <c r="K9" s="216"/>
      <c r="L9" s="217"/>
      <c r="M9" s="217"/>
      <c r="N9" s="217"/>
      <c r="O9" s="130"/>
      <c r="P9" s="239">
        <f>SUM(E9:O9)</f>
        <v>0</v>
      </c>
      <c r="Q9" s="251"/>
      <c r="R9" s="47"/>
      <c r="S9" s="47"/>
      <c r="T9" s="47"/>
    </row>
    <row r="10" spans="1:20" ht="15">
      <c r="A10" s="231" t="s">
        <v>208</v>
      </c>
      <c r="B10" s="228" t="s">
        <v>205</v>
      </c>
      <c r="C10" s="228"/>
      <c r="D10" s="228"/>
      <c r="E10" s="229">
        <f aca="true" t="shared" si="1" ref="E10:N10">+E6-E8-E9</f>
        <v>21300000</v>
      </c>
      <c r="F10" s="229">
        <f t="shared" si="1"/>
        <v>22000000</v>
      </c>
      <c r="G10" s="229">
        <f t="shared" si="1"/>
        <v>21000000</v>
      </c>
      <c r="H10" s="229">
        <f t="shared" si="1"/>
        <v>24000000</v>
      </c>
      <c r="I10" s="229">
        <f t="shared" si="1"/>
        <v>15400000</v>
      </c>
      <c r="J10" s="229">
        <f t="shared" si="1"/>
        <v>14900000</v>
      </c>
      <c r="K10" s="229">
        <f t="shared" si="1"/>
        <v>15200000</v>
      </c>
      <c r="L10" s="229">
        <f t="shared" si="1"/>
        <v>12200000</v>
      </c>
      <c r="M10" s="229">
        <f t="shared" si="1"/>
        <v>10200000</v>
      </c>
      <c r="N10" s="229">
        <f t="shared" si="1"/>
        <v>8200000</v>
      </c>
      <c r="O10" s="130"/>
      <c r="P10" s="238">
        <f t="shared" si="0"/>
        <v>164400000</v>
      </c>
      <c r="Q10" s="251"/>
      <c r="R10" s="47"/>
      <c r="S10" s="47"/>
      <c r="T10" s="47"/>
    </row>
    <row r="11" spans="1:20" ht="15">
      <c r="A11" s="231"/>
      <c r="B11" s="215"/>
      <c r="C11" s="215"/>
      <c r="D11" s="215"/>
      <c r="E11" s="216"/>
      <c r="F11" s="216"/>
      <c r="G11" s="216"/>
      <c r="H11" s="216"/>
      <c r="I11" s="216"/>
      <c r="J11" s="216"/>
      <c r="K11" s="216"/>
      <c r="L11" s="217"/>
      <c r="M11" s="217"/>
      <c r="N11" s="217"/>
      <c r="O11" s="130"/>
      <c r="P11" s="239"/>
      <c r="Q11" s="251"/>
      <c r="R11" s="47"/>
      <c r="S11" s="47"/>
      <c r="T11" s="47"/>
    </row>
    <row r="12" spans="1:20" ht="15">
      <c r="A12" s="231"/>
      <c r="B12" s="232" t="s">
        <v>241</v>
      </c>
      <c r="C12" s="232"/>
      <c r="D12" s="232"/>
      <c r="E12" s="216"/>
      <c r="F12" s="216"/>
      <c r="G12" s="216"/>
      <c r="H12" s="216"/>
      <c r="I12" s="216"/>
      <c r="J12" s="216"/>
      <c r="K12" s="216"/>
      <c r="L12" s="217"/>
      <c r="M12" s="217"/>
      <c r="N12" s="217"/>
      <c r="O12" s="130"/>
      <c r="P12" s="239"/>
      <c r="Q12" s="251"/>
      <c r="R12" s="47"/>
      <c r="S12" s="47"/>
      <c r="T12" s="47"/>
    </row>
    <row r="13" spans="1:20" ht="15">
      <c r="A13" s="231"/>
      <c r="B13" s="218" t="s">
        <v>252</v>
      </c>
      <c r="C13" s="218"/>
      <c r="D13" s="218"/>
      <c r="E13" s="216">
        <f>ROUND('Calculation of Needs'!F9,-3)</f>
        <v>1500000</v>
      </c>
      <c r="F13" s="216">
        <f>ROUND('Calculation of Needs'!G9,-3)</f>
        <v>1590000</v>
      </c>
      <c r="G13" s="216">
        <f>ROUND('Calculation of Needs'!H9,-3)</f>
        <v>1683000</v>
      </c>
      <c r="H13" s="216">
        <f>ROUND('Calculation of Needs'!I9,-3)</f>
        <v>1778000</v>
      </c>
      <c r="I13" s="216">
        <f>ROUND('Calculation of Needs'!J9,-3)</f>
        <v>3377000</v>
      </c>
      <c r="J13" s="216">
        <f>ROUND('Calculation of Needs'!K9,-3)</f>
        <v>3478000</v>
      </c>
      <c r="K13" s="216">
        <f>ROUND('Calculation of Needs'!L9,-3)</f>
        <v>3582000</v>
      </c>
      <c r="L13" s="217">
        <f>ROUND('Calculation of Needs'!M9,-3)</f>
        <v>3690000</v>
      </c>
      <c r="M13" s="217">
        <f>ROUND('Calculation of Needs'!N9,-3)</f>
        <v>3800000</v>
      </c>
      <c r="N13" s="217">
        <f>ROUND('Calculation of Needs'!O9,-3)</f>
        <v>3914000</v>
      </c>
      <c r="O13" s="130"/>
      <c r="P13" s="239">
        <f aca="true" t="shared" si="2" ref="P13:P20">SUM(E13:O13)</f>
        <v>28392000</v>
      </c>
      <c r="Q13" s="251"/>
      <c r="R13" s="47"/>
      <c r="S13" s="47"/>
      <c r="T13" s="47"/>
    </row>
    <row r="14" spans="1:20" ht="15">
      <c r="A14" s="231"/>
      <c r="B14" s="218" t="s">
        <v>255</v>
      </c>
      <c r="C14" s="218"/>
      <c r="D14" s="218"/>
      <c r="E14" s="216">
        <f>ROUND('Calculation of Needs'!F15,-3)</f>
        <v>120000</v>
      </c>
      <c r="F14" s="216">
        <f>ROUND('Calculation of Needs'!G15,-3)</f>
        <v>1318000</v>
      </c>
      <c r="G14" s="216">
        <f>ROUND('Calculation of Needs'!H15,-3)</f>
        <v>1387000</v>
      </c>
      <c r="H14" s="216">
        <f>ROUND('Calculation of Needs'!I15,-3)</f>
        <v>2459000</v>
      </c>
      <c r="I14" s="216">
        <f>ROUND('Calculation of Needs'!J15,-3)</f>
        <v>2532000</v>
      </c>
      <c r="J14" s="216">
        <f>ROUND('Calculation of Needs'!K15,-3)</f>
        <v>2608000</v>
      </c>
      <c r="K14" s="216">
        <f>ROUND('Calculation of Needs'!L15,-3)</f>
        <v>2687000</v>
      </c>
      <c r="L14" s="217">
        <f>ROUND('Calculation of Needs'!M15,-3)</f>
        <v>2767000</v>
      </c>
      <c r="M14" s="248">
        <f>ROUND('Calculation of Needs'!N15,-3)</f>
        <v>2850000</v>
      </c>
      <c r="N14" s="248">
        <f>ROUND('Calculation of Needs'!O15,-3)-140000</f>
        <v>2796000</v>
      </c>
      <c r="O14" s="130"/>
      <c r="P14" s="239">
        <f t="shared" si="2"/>
        <v>21524000</v>
      </c>
      <c r="Q14" s="251"/>
      <c r="R14" s="47"/>
      <c r="S14" s="47"/>
      <c r="T14" s="47"/>
    </row>
    <row r="15" spans="1:20" ht="15">
      <c r="A15" s="231"/>
      <c r="B15" s="218" t="s">
        <v>256</v>
      </c>
      <c r="C15" s="218"/>
      <c r="D15" s="218"/>
      <c r="E15" s="216">
        <f>ROUND('Calculation of Needs'!F22,-3)</f>
        <v>805000</v>
      </c>
      <c r="F15" s="216">
        <f>ROUND('Calculation of Needs'!G22,-3)</f>
        <v>913000</v>
      </c>
      <c r="G15" s="216">
        <f>ROUND('Calculation of Needs'!H22,-3)</f>
        <v>2325000</v>
      </c>
      <c r="H15" s="216">
        <f>ROUND('Calculation of Needs'!I22,-3)</f>
        <v>3154000</v>
      </c>
      <c r="I15" s="216">
        <f>ROUND('Calculation of Needs'!J22,-3)</f>
        <v>5103000</v>
      </c>
      <c r="J15" s="216">
        <f>ROUND('Calculation of Needs'!K22,-3)</f>
        <v>5256000</v>
      </c>
      <c r="K15" s="216">
        <f>ROUND('Calculation of Needs'!L22,-3)</f>
        <v>5414000</v>
      </c>
      <c r="L15" s="217">
        <f>ROUND('Calculation of Needs'!M22,-3)</f>
        <v>5576000</v>
      </c>
      <c r="M15" s="217">
        <f>ROUND('Calculation of Needs'!N22,-3)</f>
        <v>5743000</v>
      </c>
      <c r="N15" s="217">
        <f>ROUND('Calculation of Needs'!O22,-3)</f>
        <v>5916000</v>
      </c>
      <c r="O15" s="130"/>
      <c r="P15" s="239">
        <f t="shared" si="2"/>
        <v>40205000</v>
      </c>
      <c r="Q15" s="251"/>
      <c r="R15" s="47"/>
      <c r="S15" s="47"/>
      <c r="T15" s="47"/>
    </row>
    <row r="16" spans="1:20" ht="15">
      <c r="A16" s="231"/>
      <c r="B16" s="218" t="s">
        <v>254</v>
      </c>
      <c r="C16" s="218"/>
      <c r="D16" s="218"/>
      <c r="E16" s="216">
        <f>ROUND('Calculation of Needs'!F42,-3)</f>
        <v>0</v>
      </c>
      <c r="F16" s="216">
        <f>ROUND('Calculation of Needs'!G42,-3)</f>
        <v>500000</v>
      </c>
      <c r="G16" s="216">
        <f>ROUND('Calculation of Needs'!H42,-3)</f>
        <v>65000</v>
      </c>
      <c r="H16" s="216">
        <f>ROUND('Calculation of Needs'!I42,-3)</f>
        <v>530000</v>
      </c>
      <c r="I16" s="216">
        <f>ROUND('Calculation of Needs'!J42,-3)</f>
        <v>546000</v>
      </c>
      <c r="J16" s="216">
        <f>ROUND('Calculation of Needs'!K42,-3)</f>
        <v>563000</v>
      </c>
      <c r="K16" s="216">
        <f>ROUND('Calculation of Needs'!L42,-3)</f>
        <v>580000</v>
      </c>
      <c r="L16" s="217">
        <f>ROUND('Calculation of Needs'!M42,-3)</f>
        <v>597000</v>
      </c>
      <c r="M16" s="217">
        <f>ROUND('Calculation of Needs'!N42,-3)</f>
        <v>615000</v>
      </c>
      <c r="N16" s="217">
        <f>ROUND('Calculation of Needs'!O42,-3)</f>
        <v>633000</v>
      </c>
      <c r="O16" s="130"/>
      <c r="P16" s="239">
        <f t="shared" si="2"/>
        <v>4629000</v>
      </c>
      <c r="Q16" s="251"/>
      <c r="R16" s="47"/>
      <c r="S16" s="47"/>
      <c r="T16" s="47"/>
    </row>
    <row r="17" spans="1:20" ht="15">
      <c r="A17" s="231"/>
      <c r="B17" s="218" t="s">
        <v>258</v>
      </c>
      <c r="C17" s="218"/>
      <c r="D17" s="218"/>
      <c r="E17" s="216">
        <f>ROUND('Calculation of Needs'!F27,-3)</f>
        <v>15000</v>
      </c>
      <c r="F17" s="216">
        <f>ROUND('Calculation of Needs'!G27,-3)</f>
        <v>530000</v>
      </c>
      <c r="G17" s="216">
        <f>ROUND('Calculation of Needs'!H27,-3)</f>
        <v>546000</v>
      </c>
      <c r="H17" s="216">
        <f>ROUND('Calculation of Needs'!I27,-3)</f>
        <v>563000</v>
      </c>
      <c r="I17" s="216">
        <f>ROUND('Calculation of Needs'!J27,-3)</f>
        <v>580000</v>
      </c>
      <c r="J17" s="216">
        <f>ROUND('Calculation of Needs'!K27,-3)</f>
        <v>597000</v>
      </c>
      <c r="K17" s="216">
        <f>ROUND('Calculation of Needs'!L27,-3)</f>
        <v>615000</v>
      </c>
      <c r="L17" s="217">
        <f>ROUND('Calculation of Needs'!M27,-3)</f>
        <v>633000</v>
      </c>
      <c r="M17" s="217">
        <f>ROUND('Calculation of Needs'!N27,-3)</f>
        <v>652000</v>
      </c>
      <c r="N17" s="217">
        <f>ROUND('Calculation of Needs'!O27,-3)</f>
        <v>672000</v>
      </c>
      <c r="O17" s="130"/>
      <c r="P17" s="239">
        <f t="shared" si="2"/>
        <v>5403000</v>
      </c>
      <c r="Q17" s="251"/>
      <c r="R17" s="47"/>
      <c r="S17" s="47"/>
      <c r="T17" s="47"/>
    </row>
    <row r="18" spans="1:20" ht="15">
      <c r="A18" s="231"/>
      <c r="B18" s="218" t="s">
        <v>257</v>
      </c>
      <c r="C18" s="218"/>
      <c r="D18" s="218"/>
      <c r="E18" s="216">
        <f>ROUND('Calculation of Needs'!F37,-3)</f>
        <v>2000000</v>
      </c>
      <c r="F18" s="216">
        <f>ROUND('Calculation of Needs'!G37,-3)</f>
        <v>0</v>
      </c>
      <c r="G18" s="216">
        <f>ROUND('Calculation of Needs'!H37,-3)</f>
        <v>122000</v>
      </c>
      <c r="H18" s="216">
        <f>ROUND('Calculation of Needs'!I37,-3)</f>
        <v>0</v>
      </c>
      <c r="I18" s="216">
        <f>ROUND('Calculation of Needs'!J37,-3)</f>
        <v>2251000</v>
      </c>
      <c r="J18" s="216">
        <f>ROUND('Calculation of Needs'!K37,-3)</f>
        <v>0</v>
      </c>
      <c r="K18" s="216">
        <f>ROUND('Calculation of Needs'!L37,-3)</f>
        <v>2388000</v>
      </c>
      <c r="L18" s="217">
        <f>ROUND('Calculation of Needs'!M37,-3)</f>
        <v>0</v>
      </c>
      <c r="M18" s="217">
        <f>ROUND('Calculation of Needs'!N37,-3)</f>
        <v>2534000</v>
      </c>
      <c r="N18" s="217">
        <f>ROUND('Calculation of Needs'!O37,-3)</f>
        <v>0</v>
      </c>
      <c r="O18" s="130"/>
      <c r="P18" s="239">
        <f t="shared" si="2"/>
        <v>9295000</v>
      </c>
      <c r="Q18" s="251"/>
      <c r="R18" s="47"/>
      <c r="S18" s="47"/>
      <c r="T18" s="47"/>
    </row>
    <row r="19" spans="1:20" ht="15">
      <c r="A19" s="231"/>
      <c r="B19" s="218" t="s">
        <v>253</v>
      </c>
      <c r="C19" s="218"/>
      <c r="D19" s="218"/>
      <c r="E19" s="216">
        <f>ROUND('Calculation of Needs'!F33,-3)</f>
        <v>0</v>
      </c>
      <c r="F19" s="216">
        <f>ROUND('Calculation of Needs'!G33,-3)</f>
        <v>0</v>
      </c>
      <c r="G19" s="216">
        <f>ROUND('Calculation of Needs'!H33,-3)</f>
        <v>0</v>
      </c>
      <c r="H19" s="216">
        <f>ROUND('Calculation of Needs'!I33,-3)</f>
        <v>464000</v>
      </c>
      <c r="I19" s="216">
        <f>ROUND('Calculation of Needs'!J33,-3)</f>
        <v>477000</v>
      </c>
      <c r="J19" s="216">
        <f>ROUND('Calculation of Needs'!K33,-3)</f>
        <v>492000</v>
      </c>
      <c r="K19" s="216">
        <f>ROUND('Calculation of Needs'!L33,-3)</f>
        <v>506000</v>
      </c>
      <c r="L19" s="217">
        <f>ROUND('Calculation of Needs'!M33,-3)</f>
        <v>522000</v>
      </c>
      <c r="M19" s="217">
        <f>ROUND('Calculation of Needs'!N33,-3)</f>
        <v>537000</v>
      </c>
      <c r="N19" s="217">
        <f>ROUND('Calculation of Needs'!O33,-3)</f>
        <v>553000</v>
      </c>
      <c r="O19" s="130"/>
      <c r="P19" s="239">
        <f t="shared" si="2"/>
        <v>3551000</v>
      </c>
      <c r="Q19" s="251"/>
      <c r="R19" s="47"/>
      <c r="S19" s="47"/>
      <c r="T19" s="47"/>
    </row>
    <row r="20" spans="1:20" ht="15">
      <c r="A20" s="231"/>
      <c r="B20" s="219" t="s">
        <v>259</v>
      </c>
      <c r="C20" s="219"/>
      <c r="D20" s="219"/>
      <c r="E20" s="216">
        <f aca="true" t="shared" si="3" ref="E20:N20">ROUND(SUM(E13:E18)*0.05,-3)</f>
        <v>222000</v>
      </c>
      <c r="F20" s="216">
        <f t="shared" si="3"/>
        <v>243000</v>
      </c>
      <c r="G20" s="216">
        <f t="shared" si="3"/>
        <v>306000</v>
      </c>
      <c r="H20" s="216">
        <f t="shared" si="3"/>
        <v>424000</v>
      </c>
      <c r="I20" s="216">
        <f t="shared" si="3"/>
        <v>719000</v>
      </c>
      <c r="J20" s="216">
        <f t="shared" si="3"/>
        <v>625000</v>
      </c>
      <c r="K20" s="216">
        <f t="shared" si="3"/>
        <v>763000</v>
      </c>
      <c r="L20" s="217">
        <f t="shared" si="3"/>
        <v>663000</v>
      </c>
      <c r="M20" s="217">
        <f t="shared" si="3"/>
        <v>810000</v>
      </c>
      <c r="N20" s="217">
        <f t="shared" si="3"/>
        <v>697000</v>
      </c>
      <c r="O20" s="130"/>
      <c r="P20" s="239">
        <f t="shared" si="2"/>
        <v>5472000</v>
      </c>
      <c r="Q20" s="251"/>
      <c r="R20" s="47"/>
      <c r="S20" s="47"/>
      <c r="T20" s="47"/>
    </row>
    <row r="21" spans="1:20" ht="15">
      <c r="A21" s="231" t="s">
        <v>209</v>
      </c>
      <c r="B21" s="225" t="s">
        <v>242</v>
      </c>
      <c r="C21" s="225"/>
      <c r="D21" s="225"/>
      <c r="E21" s="229">
        <f aca="true" t="shared" si="4" ref="E21:N21">SUM(E13:E20)</f>
        <v>4662000</v>
      </c>
      <c r="F21" s="229">
        <f t="shared" si="4"/>
        <v>5094000</v>
      </c>
      <c r="G21" s="229">
        <f t="shared" si="4"/>
        <v>6434000</v>
      </c>
      <c r="H21" s="229">
        <f t="shared" si="4"/>
        <v>9372000</v>
      </c>
      <c r="I21" s="229">
        <f t="shared" si="4"/>
        <v>15585000</v>
      </c>
      <c r="J21" s="229">
        <f t="shared" si="4"/>
        <v>13619000</v>
      </c>
      <c r="K21" s="229">
        <f t="shared" si="4"/>
        <v>16535000</v>
      </c>
      <c r="L21" s="230">
        <f t="shared" si="4"/>
        <v>14448000</v>
      </c>
      <c r="M21" s="230">
        <f t="shared" si="4"/>
        <v>17541000</v>
      </c>
      <c r="N21" s="230">
        <f t="shared" si="4"/>
        <v>15181000</v>
      </c>
      <c r="O21" s="130"/>
      <c r="P21" s="238">
        <f aca="true" t="shared" si="5" ref="P21">SUM(E21:O21)</f>
        <v>118471000</v>
      </c>
      <c r="Q21" s="251"/>
      <c r="R21" s="47"/>
      <c r="S21" s="47"/>
      <c r="T21" s="47"/>
    </row>
    <row r="22" spans="1:20" ht="15">
      <c r="A22" s="231"/>
      <c r="B22" s="215"/>
      <c r="C22" s="215"/>
      <c r="D22" s="215"/>
      <c r="E22" s="220"/>
      <c r="F22" s="220"/>
      <c r="G22" s="220"/>
      <c r="H22" s="220"/>
      <c r="I22" s="220"/>
      <c r="J22" s="220"/>
      <c r="K22" s="220"/>
      <c r="L22" s="221"/>
      <c r="M22" s="221"/>
      <c r="N22" s="221"/>
      <c r="O22" s="130"/>
      <c r="P22" s="240"/>
      <c r="Q22" s="251"/>
      <c r="R22" s="47"/>
      <c r="S22" s="83"/>
      <c r="T22" s="47"/>
    </row>
    <row r="23" spans="1:20" ht="15">
      <c r="A23" s="231" t="s">
        <v>210</v>
      </c>
      <c r="B23" s="222" t="s">
        <v>266</v>
      </c>
      <c r="C23" s="222"/>
      <c r="D23" s="222"/>
      <c r="E23" s="223">
        <f aca="true" t="shared" si="6" ref="E23:N23">+E10-E21</f>
        <v>16638000</v>
      </c>
      <c r="F23" s="223">
        <f t="shared" si="6"/>
        <v>16906000</v>
      </c>
      <c r="G23" s="223">
        <f t="shared" si="6"/>
        <v>14566000</v>
      </c>
      <c r="H23" s="223">
        <f t="shared" si="6"/>
        <v>14628000</v>
      </c>
      <c r="I23" s="223">
        <f t="shared" si="6"/>
        <v>-185000</v>
      </c>
      <c r="J23" s="223">
        <f t="shared" si="6"/>
        <v>1281000</v>
      </c>
      <c r="K23" s="223">
        <f t="shared" si="6"/>
        <v>-1335000</v>
      </c>
      <c r="L23" s="224">
        <f t="shared" si="6"/>
        <v>-2248000</v>
      </c>
      <c r="M23" s="224">
        <f t="shared" si="6"/>
        <v>-7341000</v>
      </c>
      <c r="N23" s="224">
        <f t="shared" si="6"/>
        <v>-6981000</v>
      </c>
      <c r="O23" s="130"/>
      <c r="P23" s="241">
        <f>SUM(E23:O23)</f>
        <v>45929000</v>
      </c>
      <c r="Q23" s="251"/>
      <c r="R23" s="47"/>
      <c r="S23" s="47"/>
      <c r="T23" s="47"/>
    </row>
    <row r="24" spans="1:20" ht="15">
      <c r="A24" s="231"/>
      <c r="B24" s="267"/>
      <c r="C24" s="267"/>
      <c r="D24" s="267"/>
      <c r="E24" s="268"/>
      <c r="F24" s="268"/>
      <c r="G24" s="268"/>
      <c r="H24" s="268"/>
      <c r="I24" s="268"/>
      <c r="J24" s="268"/>
      <c r="K24" s="268"/>
      <c r="L24" s="269"/>
      <c r="M24" s="269"/>
      <c r="N24" s="269"/>
      <c r="O24" s="184"/>
      <c r="P24" s="270"/>
      <c r="Q24" s="251"/>
      <c r="R24" s="47"/>
      <c r="S24" s="47"/>
      <c r="T24" s="47"/>
    </row>
    <row r="25" spans="1:20" ht="15.75" thickBot="1">
      <c r="A25" s="231" t="s">
        <v>226</v>
      </c>
      <c r="B25" s="272" t="s">
        <v>225</v>
      </c>
      <c r="C25" s="272"/>
      <c r="D25" s="272"/>
      <c r="E25" s="273"/>
      <c r="F25" s="244">
        <f aca="true" t="shared" si="7" ref="F25:N25">+E26-E46</f>
        <v>9589602</v>
      </c>
      <c r="G25" s="244">
        <f t="shared" si="7"/>
        <v>19562452</v>
      </c>
      <c r="H25" s="244">
        <f t="shared" si="7"/>
        <v>24932703.2</v>
      </c>
      <c r="I25" s="244">
        <f t="shared" si="7"/>
        <v>28805242.400000002</v>
      </c>
      <c r="J25" s="244">
        <f t="shared" si="7"/>
        <v>27045242.400000002</v>
      </c>
      <c r="K25" s="244">
        <f t="shared" si="7"/>
        <v>24273074.400000002</v>
      </c>
      <c r="L25" s="245">
        <f t="shared" si="7"/>
        <v>21363074.400000002</v>
      </c>
      <c r="M25" s="245">
        <f t="shared" si="7"/>
        <v>17540074.400000002</v>
      </c>
      <c r="N25" s="245">
        <f t="shared" si="7"/>
        <v>8624074.400000002</v>
      </c>
      <c r="O25" s="130"/>
      <c r="P25" s="243"/>
      <c r="Q25" s="251"/>
      <c r="R25" s="47"/>
      <c r="S25" s="47"/>
      <c r="T25" s="47"/>
    </row>
    <row r="26" spans="1:20" ht="15.75" thickBot="1">
      <c r="A26" s="231" t="s">
        <v>228</v>
      </c>
      <c r="B26" s="282" t="s">
        <v>230</v>
      </c>
      <c r="C26" s="282"/>
      <c r="D26" s="282"/>
      <c r="E26" s="283">
        <f>+E25+E23</f>
        <v>16638000</v>
      </c>
      <c r="F26" s="283">
        <f aca="true" t="shared" si="8" ref="F26:N26">+F25+F23</f>
        <v>26495602</v>
      </c>
      <c r="G26" s="283">
        <f t="shared" si="8"/>
        <v>34128452</v>
      </c>
      <c r="H26" s="283">
        <f t="shared" si="8"/>
        <v>39560703.2</v>
      </c>
      <c r="I26" s="283">
        <f t="shared" si="8"/>
        <v>28620242.400000002</v>
      </c>
      <c r="J26" s="283">
        <f t="shared" si="8"/>
        <v>28326242.400000002</v>
      </c>
      <c r="K26" s="283">
        <f t="shared" si="8"/>
        <v>22938074.400000002</v>
      </c>
      <c r="L26" s="284">
        <f t="shared" si="8"/>
        <v>19115074.400000002</v>
      </c>
      <c r="M26" s="284">
        <f t="shared" si="8"/>
        <v>10199074.400000002</v>
      </c>
      <c r="N26" s="284">
        <f t="shared" si="8"/>
        <v>1643074.4000000022</v>
      </c>
      <c r="O26" s="184"/>
      <c r="P26" s="287">
        <f>+N48</f>
        <v>68074.40000000224</v>
      </c>
      <c r="Q26" s="251"/>
      <c r="R26" s="47"/>
      <c r="S26" s="47"/>
      <c r="T26" s="47"/>
    </row>
    <row r="27" spans="1:20" ht="6" customHeight="1">
      <c r="A27" s="231"/>
      <c r="B27" s="215"/>
      <c r="C27" s="215"/>
      <c r="D27" s="215"/>
      <c r="E27" s="216"/>
      <c r="F27" s="216"/>
      <c r="G27" s="216"/>
      <c r="H27" s="216"/>
      <c r="I27" s="216"/>
      <c r="J27" s="216"/>
      <c r="K27" s="216"/>
      <c r="L27" s="217"/>
      <c r="M27" s="217"/>
      <c r="N27" s="217"/>
      <c r="O27" s="130"/>
      <c r="P27" s="252"/>
      <c r="Q27" s="251"/>
      <c r="R27" s="47"/>
      <c r="S27" s="47"/>
      <c r="T27" s="47"/>
    </row>
    <row r="28" spans="2:20" ht="15">
      <c r="B28" s="271" t="s">
        <v>244</v>
      </c>
      <c r="C28" s="271"/>
      <c r="D28" s="271"/>
      <c r="E28" s="216">
        <v>1000000</v>
      </c>
      <c r="F28" s="216">
        <v>1000000</v>
      </c>
      <c r="G28" s="216">
        <v>1000000</v>
      </c>
      <c r="H28" s="216">
        <v>1000000</v>
      </c>
      <c r="I28" s="216">
        <v>1000000</v>
      </c>
      <c r="J28" s="216">
        <v>1000000</v>
      </c>
      <c r="K28" s="216">
        <v>1000000</v>
      </c>
      <c r="L28" s="216">
        <v>1000000</v>
      </c>
      <c r="M28" s="216">
        <v>1000000</v>
      </c>
      <c r="N28" s="217">
        <v>1000000</v>
      </c>
      <c r="O28" s="130"/>
      <c r="P28" s="239">
        <f aca="true" t="shared" si="9" ref="P28:P46">SUM(E28:O28)</f>
        <v>10000000</v>
      </c>
      <c r="Q28" s="279"/>
      <c r="R28" s="47"/>
      <c r="S28" s="47"/>
      <c r="T28" s="47"/>
    </row>
    <row r="29" spans="2:20" ht="15">
      <c r="B29" s="291" t="s">
        <v>243</v>
      </c>
      <c r="C29" s="291"/>
      <c r="D29" s="291"/>
      <c r="E29" s="216"/>
      <c r="F29" s="216"/>
      <c r="G29" s="216"/>
      <c r="H29" s="216"/>
      <c r="I29" s="216"/>
      <c r="J29" s="216"/>
      <c r="K29" s="216"/>
      <c r="L29" s="217"/>
      <c r="M29" s="217"/>
      <c r="N29" s="217"/>
      <c r="O29" s="130"/>
      <c r="P29" s="239">
        <f t="shared" si="9"/>
        <v>0</v>
      </c>
      <c r="Q29" s="251"/>
      <c r="R29" s="47"/>
      <c r="S29" s="47"/>
      <c r="T29" s="47"/>
    </row>
    <row r="30" spans="2:17" ht="15">
      <c r="B30" s="215" t="s">
        <v>239</v>
      </c>
      <c r="C30" s="215"/>
      <c r="D30" s="215"/>
      <c r="E30" s="216">
        <v>475000</v>
      </c>
      <c r="F30" s="216">
        <v>700000</v>
      </c>
      <c r="G30" s="216">
        <v>1850000</v>
      </c>
      <c r="H30" s="216">
        <v>500000</v>
      </c>
      <c r="I30" s="216">
        <v>500000</v>
      </c>
      <c r="J30" s="216">
        <v>500000</v>
      </c>
      <c r="K30" s="216">
        <v>500000</v>
      </c>
      <c r="L30" s="216">
        <v>500000</v>
      </c>
      <c r="M30" s="216">
        <v>500000</v>
      </c>
      <c r="N30" s="217">
        <v>500000</v>
      </c>
      <c r="O30" s="130"/>
      <c r="P30" s="239">
        <f t="shared" si="9"/>
        <v>6525000</v>
      </c>
      <c r="Q30" s="251"/>
    </row>
    <row r="31" spans="2:17" ht="30" customHeight="1">
      <c r="B31" s="286" t="s">
        <v>270</v>
      </c>
      <c r="C31" s="286"/>
      <c r="D31" s="286"/>
      <c r="E31" s="216"/>
      <c r="F31" s="216"/>
      <c r="G31" s="216"/>
      <c r="H31" s="216"/>
      <c r="I31" s="216"/>
      <c r="J31" s="216"/>
      <c r="K31" s="216"/>
      <c r="L31" s="217"/>
      <c r="M31" s="217"/>
      <c r="N31" s="217"/>
      <c r="O31" s="130"/>
      <c r="P31" s="239">
        <f t="shared" si="9"/>
        <v>0</v>
      </c>
      <c r="Q31" s="251"/>
    </row>
    <row r="32" spans="2:17" ht="15">
      <c r="B32" s="215" t="s">
        <v>290</v>
      </c>
      <c r="C32" s="318">
        <v>3</v>
      </c>
      <c r="D32" s="215"/>
      <c r="E32" s="216">
        <v>750000</v>
      </c>
      <c r="F32" s="216"/>
      <c r="G32" s="216">
        <v>1976880</v>
      </c>
      <c r="H32" s="216"/>
      <c r="I32" s="216"/>
      <c r="J32" s="216"/>
      <c r="K32" s="216"/>
      <c r="L32" s="217"/>
      <c r="M32" s="217"/>
      <c r="N32" s="217"/>
      <c r="O32" s="130"/>
      <c r="P32" s="239">
        <f t="shared" si="9"/>
        <v>2726880</v>
      </c>
      <c r="Q32" s="251">
        <f>(P32+P33+P36+P37)/($P$46-$P$28-$P$30)</f>
        <v>0.31039675121074073</v>
      </c>
    </row>
    <row r="33" spans="2:17" ht="15">
      <c r="B33" s="215" t="s">
        <v>291</v>
      </c>
      <c r="C33" s="318">
        <v>3</v>
      </c>
      <c r="D33" s="215"/>
      <c r="E33" s="216">
        <v>687760</v>
      </c>
      <c r="F33" s="216"/>
      <c r="G33" s="216">
        <v>1901600</v>
      </c>
      <c r="H33" s="216"/>
      <c r="I33" s="216"/>
      <c r="J33" s="216"/>
      <c r="K33" s="216"/>
      <c r="L33" s="217"/>
      <c r="M33" s="217"/>
      <c r="N33" s="217"/>
      <c r="O33" s="130"/>
      <c r="P33" s="239">
        <f t="shared" si="9"/>
        <v>2589360</v>
      </c>
      <c r="Q33" s="251"/>
    </row>
    <row r="34" spans="2:17" ht="15">
      <c r="B34" s="215" t="s">
        <v>292</v>
      </c>
      <c r="C34" s="318">
        <v>7</v>
      </c>
      <c r="D34" s="215"/>
      <c r="E34" s="216"/>
      <c r="F34" s="216">
        <v>1303000</v>
      </c>
      <c r="G34" s="216"/>
      <c r="H34" s="216"/>
      <c r="I34" s="216"/>
      <c r="J34" s="216"/>
      <c r="K34" s="216"/>
      <c r="L34" s="217"/>
      <c r="M34" s="217"/>
      <c r="N34" s="217"/>
      <c r="O34" s="130"/>
      <c r="P34" s="239">
        <f t="shared" si="9"/>
        <v>1303000</v>
      </c>
      <c r="Q34" s="251">
        <f>(P34+P39)/($P$46-$P$28-$P$30)</f>
        <v>0.08958299239755366</v>
      </c>
    </row>
    <row r="35" spans="2:17" ht="15">
      <c r="B35" s="291" t="s">
        <v>297</v>
      </c>
      <c r="C35" s="318">
        <v>9</v>
      </c>
      <c r="D35" s="215"/>
      <c r="E35" s="216"/>
      <c r="F35" s="216">
        <v>900000</v>
      </c>
      <c r="G35" s="216"/>
      <c r="H35" s="216">
        <v>7043296</v>
      </c>
      <c r="I35" s="216"/>
      <c r="J35" s="216"/>
      <c r="K35" s="216"/>
      <c r="L35" s="217"/>
      <c r="M35" s="217"/>
      <c r="N35" s="217"/>
      <c r="O35" s="130"/>
      <c r="P35" s="239">
        <f t="shared" si="9"/>
        <v>7943296</v>
      </c>
      <c r="Q35" s="251"/>
    </row>
    <row r="36" spans="2:17" ht="15">
      <c r="B36" s="215" t="s">
        <v>293</v>
      </c>
      <c r="C36" s="318">
        <v>3</v>
      </c>
      <c r="D36" s="215"/>
      <c r="E36" s="216"/>
      <c r="F36" s="216"/>
      <c r="G36" s="216">
        <v>629376</v>
      </c>
      <c r="H36" s="216"/>
      <c r="I36" s="216"/>
      <c r="J36" s="216">
        <v>2360160</v>
      </c>
      <c r="K36" s="216"/>
      <c r="L36" s="217"/>
      <c r="M36" s="217"/>
      <c r="N36" s="217"/>
      <c r="O36" s="130"/>
      <c r="P36" s="239">
        <f t="shared" si="9"/>
        <v>2989536</v>
      </c>
      <c r="Q36" s="251"/>
    </row>
    <row r="37" spans="2:17" ht="15">
      <c r="B37" s="215" t="s">
        <v>294</v>
      </c>
      <c r="C37" s="318">
        <v>3</v>
      </c>
      <c r="D37" s="215"/>
      <c r="E37" s="216"/>
      <c r="F37" s="216"/>
      <c r="G37" s="216"/>
      <c r="H37" s="216">
        <v>800000</v>
      </c>
      <c r="I37" s="216"/>
      <c r="J37" s="216"/>
      <c r="K37" s="216"/>
      <c r="L37" s="217"/>
      <c r="M37" s="217"/>
      <c r="N37" s="217"/>
      <c r="O37" s="130"/>
      <c r="P37" s="239">
        <f t="shared" si="9"/>
        <v>800000</v>
      </c>
      <c r="Q37" s="251"/>
    </row>
    <row r="38" spans="2:17" ht="30" customHeight="1">
      <c r="B38" s="295" t="s">
        <v>267</v>
      </c>
      <c r="C38" s="286"/>
      <c r="D38" s="286"/>
      <c r="E38" s="216"/>
      <c r="F38" s="216"/>
      <c r="G38" s="216"/>
      <c r="H38" s="216"/>
      <c r="I38" s="216"/>
      <c r="J38" s="216"/>
      <c r="K38" s="216"/>
      <c r="L38" s="217"/>
      <c r="M38" s="217"/>
      <c r="N38" s="217"/>
      <c r="O38" s="130"/>
      <c r="P38" s="239">
        <f t="shared" si="9"/>
        <v>0</v>
      </c>
      <c r="Q38" s="251"/>
    </row>
    <row r="39" spans="2:17" ht="15">
      <c r="B39" s="291" t="s">
        <v>300</v>
      </c>
      <c r="C39" s="318">
        <v>7</v>
      </c>
      <c r="D39" s="215"/>
      <c r="E39" s="216">
        <v>1325000</v>
      </c>
      <c r="F39" s="216"/>
      <c r="G39" s="216"/>
      <c r="H39" s="216"/>
      <c r="I39" s="216"/>
      <c r="J39" s="216"/>
      <c r="K39" s="216"/>
      <c r="L39" s="217"/>
      <c r="M39" s="217"/>
      <c r="N39" s="217"/>
      <c r="O39" s="130"/>
      <c r="P39" s="239">
        <f t="shared" si="9"/>
        <v>1325000</v>
      </c>
      <c r="Q39" s="251"/>
    </row>
    <row r="40" spans="2:17" ht="15">
      <c r="B40" s="296" t="s">
        <v>295</v>
      </c>
      <c r="C40" s="319">
        <v>2</v>
      </c>
      <c r="D40" s="246"/>
      <c r="E40" s="247">
        <v>400000</v>
      </c>
      <c r="F40" s="247"/>
      <c r="G40" s="247">
        <v>1100000</v>
      </c>
      <c r="H40" s="247"/>
      <c r="I40" s="247"/>
      <c r="J40" s="247"/>
      <c r="K40" s="247"/>
      <c r="L40" s="248"/>
      <c r="M40" s="248"/>
      <c r="N40" s="248"/>
      <c r="O40" s="184"/>
      <c r="P40" s="239">
        <f t="shared" si="9"/>
        <v>1500000</v>
      </c>
      <c r="Q40" s="251">
        <f>(P35+P41+P43)/($P$46-$P$28-$P$30)</f>
        <v>0.34150263866226876</v>
      </c>
    </row>
    <row r="41" spans="2:17" ht="15">
      <c r="B41" s="296" t="s">
        <v>296</v>
      </c>
      <c r="C41" s="319">
        <v>9</v>
      </c>
      <c r="D41" s="246"/>
      <c r="E41" s="247">
        <v>950000</v>
      </c>
      <c r="F41" s="247"/>
      <c r="G41" s="247"/>
      <c r="H41" s="247"/>
      <c r="I41" s="247"/>
      <c r="J41" s="247"/>
      <c r="K41" s="247"/>
      <c r="L41" s="248"/>
      <c r="M41" s="248"/>
      <c r="N41" s="248"/>
      <c r="O41" s="184"/>
      <c r="P41" s="239">
        <f t="shared" si="9"/>
        <v>950000</v>
      </c>
      <c r="Q41" s="251"/>
    </row>
    <row r="42" spans="2:17" ht="15">
      <c r="B42" s="296" t="s">
        <v>298</v>
      </c>
      <c r="C42" s="319">
        <v>2</v>
      </c>
      <c r="D42" s="246"/>
      <c r="E42" s="247"/>
      <c r="F42" s="247">
        <v>2700000</v>
      </c>
      <c r="G42" s="247"/>
      <c r="H42" s="247"/>
      <c r="I42" s="247"/>
      <c r="J42" s="247"/>
      <c r="K42" s="247"/>
      <c r="L42" s="248"/>
      <c r="M42" s="248"/>
      <c r="N42" s="248"/>
      <c r="O42" s="184"/>
      <c r="P42" s="239">
        <f t="shared" si="9"/>
        <v>2700000</v>
      </c>
      <c r="Q42" s="251"/>
    </row>
    <row r="43" spans="2:17" ht="15">
      <c r="B43" s="296" t="s">
        <v>301</v>
      </c>
      <c r="C43" s="319">
        <v>9</v>
      </c>
      <c r="D43" s="246"/>
      <c r="E43" s="247">
        <v>1125000</v>
      </c>
      <c r="F43" s="247"/>
      <c r="G43" s="247"/>
      <c r="H43" s="247"/>
      <c r="I43" s="247"/>
      <c r="J43" s="247"/>
      <c r="K43" s="247"/>
      <c r="L43" s="248"/>
      <c r="M43" s="248"/>
      <c r="N43" s="248"/>
      <c r="O43" s="184"/>
      <c r="P43" s="239">
        <f t="shared" si="9"/>
        <v>1125000</v>
      </c>
      <c r="Q43" s="251"/>
    </row>
    <row r="44" spans="2:17" ht="15">
      <c r="B44" s="296" t="s">
        <v>302</v>
      </c>
      <c r="C44" s="319">
        <v>8</v>
      </c>
      <c r="D44" s="246"/>
      <c r="E44" s="247"/>
      <c r="F44" s="247"/>
      <c r="G44" s="247">
        <v>300000</v>
      </c>
      <c r="H44" s="247">
        <v>900000</v>
      </c>
      <c r="I44" s="247"/>
      <c r="J44" s="247"/>
      <c r="K44" s="247"/>
      <c r="L44" s="248"/>
      <c r="M44" s="248"/>
      <c r="N44" s="248"/>
      <c r="O44" s="184"/>
      <c r="P44" s="239">
        <f t="shared" si="9"/>
        <v>1200000</v>
      </c>
      <c r="Q44" s="251"/>
    </row>
    <row r="45" spans="2:17" ht="15">
      <c r="B45" s="271" t="s">
        <v>271</v>
      </c>
      <c r="C45" s="294"/>
      <c r="D45" s="294"/>
      <c r="E45" s="233">
        <f aca="true" t="shared" si="10" ref="E45:N45">SUM(E28:E44)*0.05</f>
        <v>335638</v>
      </c>
      <c r="F45" s="233">
        <f t="shared" si="10"/>
        <v>330150</v>
      </c>
      <c r="G45" s="233">
        <f t="shared" si="10"/>
        <v>437892.80000000005</v>
      </c>
      <c r="H45" s="233">
        <f t="shared" si="10"/>
        <v>512164.80000000005</v>
      </c>
      <c r="I45" s="233">
        <f t="shared" si="10"/>
        <v>75000</v>
      </c>
      <c r="J45" s="233">
        <f t="shared" si="10"/>
        <v>193008</v>
      </c>
      <c r="K45" s="233">
        <f t="shared" si="10"/>
        <v>75000</v>
      </c>
      <c r="L45" s="234">
        <f t="shared" si="10"/>
        <v>75000</v>
      </c>
      <c r="M45" s="234">
        <f t="shared" si="10"/>
        <v>75000</v>
      </c>
      <c r="N45" s="234">
        <f t="shared" si="10"/>
        <v>75000</v>
      </c>
      <c r="O45" s="130"/>
      <c r="P45" s="239">
        <f t="shared" si="9"/>
        <v>2183853.6</v>
      </c>
      <c r="Q45" s="251"/>
    </row>
    <row r="46" spans="1:17" ht="15">
      <c r="A46" s="231" t="s">
        <v>227</v>
      </c>
      <c r="B46" s="275" t="s">
        <v>231</v>
      </c>
      <c r="C46" s="275"/>
      <c r="D46" s="275"/>
      <c r="E46" s="276">
        <f aca="true" t="shared" si="11" ref="E46:N46">SUM(E27:E45)</f>
        <v>7048398</v>
      </c>
      <c r="F46" s="276">
        <f t="shared" si="11"/>
        <v>6933150</v>
      </c>
      <c r="G46" s="276">
        <f t="shared" si="11"/>
        <v>9195748.8</v>
      </c>
      <c r="H46" s="276">
        <f t="shared" si="11"/>
        <v>10755460.8</v>
      </c>
      <c r="I46" s="276">
        <f t="shared" si="11"/>
        <v>1575000</v>
      </c>
      <c r="J46" s="276">
        <f t="shared" si="11"/>
        <v>4053168</v>
      </c>
      <c r="K46" s="276">
        <f t="shared" si="11"/>
        <v>1575000</v>
      </c>
      <c r="L46" s="277">
        <f t="shared" si="11"/>
        <v>1575000</v>
      </c>
      <c r="M46" s="277">
        <f t="shared" si="11"/>
        <v>1575000</v>
      </c>
      <c r="N46" s="277">
        <f t="shared" si="11"/>
        <v>1575000</v>
      </c>
      <c r="O46" s="274"/>
      <c r="P46" s="278">
        <f t="shared" si="9"/>
        <v>45860925.6</v>
      </c>
      <c r="Q46" s="320"/>
    </row>
    <row r="47" spans="1:17" ht="15">
      <c r="A47" s="231"/>
      <c r="B47" s="183"/>
      <c r="C47" s="183"/>
      <c r="D47" s="183"/>
      <c r="E47" s="196"/>
      <c r="F47" s="196"/>
      <c r="G47" s="196"/>
      <c r="H47" s="196"/>
      <c r="I47" s="196"/>
      <c r="J47" s="196"/>
      <c r="K47" s="196"/>
      <c r="L47" s="235"/>
      <c r="M47" s="235"/>
      <c r="N47" s="235"/>
      <c r="O47" s="130"/>
      <c r="P47" s="185"/>
      <c r="Q47" s="251"/>
    </row>
    <row r="48" spans="1:17" s="130" customFormat="1" ht="15">
      <c r="A48" s="257" t="s">
        <v>229</v>
      </c>
      <c r="B48" s="130" t="s">
        <v>260</v>
      </c>
      <c r="E48" s="185">
        <f aca="true" t="shared" si="12" ref="E48:N48">+E26-E46</f>
        <v>9589602</v>
      </c>
      <c r="F48" s="185">
        <f t="shared" si="12"/>
        <v>19562452</v>
      </c>
      <c r="G48" s="185">
        <f t="shared" si="12"/>
        <v>24932703.2</v>
      </c>
      <c r="H48" s="185">
        <f t="shared" si="12"/>
        <v>28805242.400000002</v>
      </c>
      <c r="I48" s="185">
        <f t="shared" si="12"/>
        <v>27045242.400000002</v>
      </c>
      <c r="J48" s="185">
        <f t="shared" si="12"/>
        <v>24273074.400000002</v>
      </c>
      <c r="K48" s="185">
        <f t="shared" si="12"/>
        <v>21363074.400000002</v>
      </c>
      <c r="L48" s="185">
        <f t="shared" si="12"/>
        <v>17540074.400000002</v>
      </c>
      <c r="M48" s="185">
        <f t="shared" si="12"/>
        <v>8624074.400000002</v>
      </c>
      <c r="N48" s="185">
        <f t="shared" si="12"/>
        <v>68074.40000000224</v>
      </c>
      <c r="P48" s="185"/>
      <c r="Q48" s="258"/>
    </row>
    <row r="49" spans="5:17" s="130" customFormat="1" ht="15"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P49" s="185"/>
      <c r="Q49" s="258"/>
    </row>
    <row r="50" spans="2:17" s="130" customFormat="1" ht="15">
      <c r="B50" s="280" t="s">
        <v>232</v>
      </c>
      <c r="C50" s="280"/>
      <c r="D50" s="280"/>
      <c r="E50" s="281">
        <f aca="true" t="shared" si="13" ref="E50:N50">+E28/2*8</f>
        <v>4000000</v>
      </c>
      <c r="F50" s="281">
        <f t="shared" si="13"/>
        <v>4000000</v>
      </c>
      <c r="G50" s="281">
        <f t="shared" si="13"/>
        <v>4000000</v>
      </c>
      <c r="H50" s="281">
        <f t="shared" si="13"/>
        <v>4000000</v>
      </c>
      <c r="I50" s="281">
        <f t="shared" si="13"/>
        <v>4000000</v>
      </c>
      <c r="J50" s="281">
        <f t="shared" si="13"/>
        <v>4000000</v>
      </c>
      <c r="K50" s="281">
        <f t="shared" si="13"/>
        <v>4000000</v>
      </c>
      <c r="L50" s="281">
        <f t="shared" si="13"/>
        <v>4000000</v>
      </c>
      <c r="M50" s="281">
        <f t="shared" si="13"/>
        <v>4000000</v>
      </c>
      <c r="N50" s="281">
        <f t="shared" si="13"/>
        <v>4000000</v>
      </c>
      <c r="P50" s="281">
        <f>SUM(E50:O50)</f>
        <v>40000000</v>
      </c>
      <c r="Q50" s="258"/>
    </row>
    <row r="51" spans="2:17" s="130" customFormat="1" ht="15">
      <c r="B51" s="184"/>
      <c r="C51" s="184"/>
      <c r="D51" s="184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P51" s="185"/>
      <c r="Q51" s="258"/>
    </row>
    <row r="52" spans="2:17" s="130" customFormat="1" ht="15">
      <c r="B52" s="184"/>
      <c r="C52" s="184"/>
      <c r="D52" s="184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P52" s="185"/>
      <c r="Q52" s="258"/>
    </row>
    <row r="53" spans="2:17" s="130" customFormat="1" ht="15">
      <c r="B53" s="184"/>
      <c r="C53" s="184"/>
      <c r="D53" s="184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P53" s="185"/>
      <c r="Q53" s="258"/>
    </row>
    <row r="54" spans="1:17" s="130" customFormat="1" ht="21">
      <c r="A54" s="259" t="s">
        <v>223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258"/>
    </row>
    <row r="55" s="130" customFormat="1" ht="15">
      <c r="Q55" s="258"/>
    </row>
    <row r="56" spans="5:16" s="130" customFormat="1" ht="15">
      <c r="E56" s="257">
        <v>2021</v>
      </c>
      <c r="F56" s="257">
        <v>2022</v>
      </c>
      <c r="G56" s="257">
        <v>2023</v>
      </c>
      <c r="H56" s="257">
        <v>2024</v>
      </c>
      <c r="I56" s="257">
        <v>2025</v>
      </c>
      <c r="J56" s="257">
        <v>2026</v>
      </c>
      <c r="K56" s="257">
        <v>2027</v>
      </c>
      <c r="L56" s="257">
        <v>2028</v>
      </c>
      <c r="M56" s="257">
        <v>2029</v>
      </c>
      <c r="N56" s="257">
        <v>2030</v>
      </c>
      <c r="P56" s="257"/>
    </row>
    <row r="57" spans="1:17" ht="15">
      <c r="A57" s="249" t="s">
        <v>65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Q57" s="251"/>
    </row>
    <row r="58" spans="1:17" ht="15">
      <c r="A58" s="28"/>
      <c r="B58" s="214" t="s">
        <v>214</v>
      </c>
      <c r="C58" s="214"/>
      <c r="D58" s="214"/>
      <c r="E58" s="244">
        <f>+'Calculation of Needs'!F6</f>
        <v>1500000</v>
      </c>
      <c r="F58" s="244">
        <f>+'Calculation of Needs'!G6</f>
        <v>1500000</v>
      </c>
      <c r="G58" s="244">
        <f>+'Calculation of Needs'!H6</f>
        <v>1500000</v>
      </c>
      <c r="H58" s="244">
        <f>+'Calculation of Needs'!I6</f>
        <v>1500000</v>
      </c>
      <c r="I58" s="244">
        <v>0</v>
      </c>
      <c r="J58" s="244">
        <v>0</v>
      </c>
      <c r="K58" s="244">
        <f>+'Calculation of Needs'!J6</f>
        <v>0</v>
      </c>
      <c r="L58" s="245">
        <f>+'Calculation of Needs'!K6</f>
        <v>0</v>
      </c>
      <c r="M58" s="245">
        <f>+'Calculation of Needs'!L6</f>
        <v>0</v>
      </c>
      <c r="N58" s="245">
        <f>+'Calculation of Needs'!M6</f>
        <v>0</v>
      </c>
      <c r="O58" s="130"/>
      <c r="P58" s="252">
        <f>SUM(E58:O58)</f>
        <v>6000000</v>
      </c>
      <c r="Q58" s="251"/>
    </row>
    <row r="59" spans="1:17" ht="15">
      <c r="A59" s="28"/>
      <c r="B59" s="254" t="s">
        <v>215</v>
      </c>
      <c r="C59" s="254"/>
      <c r="D59" s="254"/>
      <c r="E59" s="255">
        <f aca="true" t="shared" si="14" ref="E59:N59">+E13</f>
        <v>1500000</v>
      </c>
      <c r="F59" s="255">
        <f t="shared" si="14"/>
        <v>1590000</v>
      </c>
      <c r="G59" s="255">
        <f t="shared" si="14"/>
        <v>1683000</v>
      </c>
      <c r="H59" s="255">
        <f t="shared" si="14"/>
        <v>1778000</v>
      </c>
      <c r="I59" s="255">
        <f t="shared" si="14"/>
        <v>3377000</v>
      </c>
      <c r="J59" s="255">
        <f t="shared" si="14"/>
        <v>3478000</v>
      </c>
      <c r="K59" s="255">
        <f t="shared" si="14"/>
        <v>3582000</v>
      </c>
      <c r="L59" s="256">
        <f t="shared" si="14"/>
        <v>3690000</v>
      </c>
      <c r="M59" s="256">
        <f t="shared" si="14"/>
        <v>3800000</v>
      </c>
      <c r="N59" s="256">
        <f t="shared" si="14"/>
        <v>3914000</v>
      </c>
      <c r="O59" s="260"/>
      <c r="P59" s="261">
        <f aca="true" t="shared" si="15" ref="P59:P60">SUM(E59:O59)</f>
        <v>28392000</v>
      </c>
      <c r="Q59" s="251"/>
    </row>
    <row r="60" spans="1:17" ht="15">
      <c r="A60" s="28"/>
      <c r="B60" s="228" t="s">
        <v>216</v>
      </c>
      <c r="C60" s="228"/>
      <c r="D60" s="228"/>
      <c r="E60" s="229">
        <f>SUM(E58:E59)</f>
        <v>3000000</v>
      </c>
      <c r="F60" s="229">
        <f aca="true" t="shared" si="16" ref="F60:N60">SUM(F58:F59)</f>
        <v>3090000</v>
      </c>
      <c r="G60" s="229">
        <f t="shared" si="16"/>
        <v>3183000</v>
      </c>
      <c r="H60" s="229">
        <f t="shared" si="16"/>
        <v>3278000</v>
      </c>
      <c r="I60" s="229">
        <f t="shared" si="16"/>
        <v>3377000</v>
      </c>
      <c r="J60" s="229">
        <f t="shared" si="16"/>
        <v>3478000</v>
      </c>
      <c r="K60" s="229">
        <f t="shared" si="16"/>
        <v>3582000</v>
      </c>
      <c r="L60" s="230">
        <f t="shared" si="16"/>
        <v>3690000</v>
      </c>
      <c r="M60" s="230">
        <f t="shared" si="16"/>
        <v>3800000</v>
      </c>
      <c r="N60" s="230">
        <f t="shared" si="16"/>
        <v>3914000</v>
      </c>
      <c r="O60" s="130"/>
      <c r="P60" s="238">
        <f t="shared" si="15"/>
        <v>34392000</v>
      </c>
      <c r="Q60" s="251"/>
    </row>
    <row r="61" spans="1:17" ht="30" customHeight="1">
      <c r="A61" s="249" t="s">
        <v>19</v>
      </c>
      <c r="B61" s="246"/>
      <c r="C61" s="246"/>
      <c r="D61" s="246"/>
      <c r="E61" s="247"/>
      <c r="F61" s="247"/>
      <c r="G61" s="247"/>
      <c r="H61" s="247"/>
      <c r="I61" s="247"/>
      <c r="J61" s="247"/>
      <c r="K61" s="247"/>
      <c r="L61" s="248"/>
      <c r="M61" s="248"/>
      <c r="N61" s="248"/>
      <c r="O61" s="130"/>
      <c r="P61" s="253"/>
      <c r="Q61" s="251"/>
    </row>
    <row r="62" spans="1:17" ht="15">
      <c r="A62" s="28"/>
      <c r="B62" s="215" t="s">
        <v>214</v>
      </c>
      <c r="C62" s="215"/>
      <c r="D62" s="215"/>
      <c r="E62" s="216">
        <f>+'Calculation of Needs'!F31</f>
        <v>450000</v>
      </c>
      <c r="F62" s="216">
        <f>+'Calculation of Needs'!G31</f>
        <v>0</v>
      </c>
      <c r="G62" s="216">
        <f>+'Calculation of Needs'!H31</f>
        <v>450000</v>
      </c>
      <c r="H62" s="216">
        <f>+'Calculation of Needs'!I31</f>
        <v>0</v>
      </c>
      <c r="I62" s="216">
        <f>+'Calculation of Needs'!J31</f>
        <v>0</v>
      </c>
      <c r="J62" s="216">
        <f>+'Calculation of Needs'!K31</f>
        <v>0</v>
      </c>
      <c r="K62" s="216">
        <f>+'Calculation of Needs'!L31</f>
        <v>0</v>
      </c>
      <c r="L62" s="217">
        <f>+'Calculation of Needs'!M31</f>
        <v>0</v>
      </c>
      <c r="M62" s="217">
        <f>+'Calculation of Needs'!N31</f>
        <v>0</v>
      </c>
      <c r="N62" s="217">
        <f>+'Calculation of Needs'!O31</f>
        <v>0</v>
      </c>
      <c r="O62" s="130"/>
      <c r="P62" s="239">
        <f aca="true" t="shared" si="17" ref="P62:P64">SUM(E62:O62)</f>
        <v>900000</v>
      </c>
      <c r="Q62" s="251"/>
    </row>
    <row r="63" spans="1:17" ht="15">
      <c r="A63" s="28"/>
      <c r="B63" s="254" t="s">
        <v>215</v>
      </c>
      <c r="C63" s="254"/>
      <c r="D63" s="254"/>
      <c r="E63" s="255">
        <f aca="true" t="shared" si="18" ref="E63:N63">+E19</f>
        <v>0</v>
      </c>
      <c r="F63" s="255">
        <f t="shared" si="18"/>
        <v>0</v>
      </c>
      <c r="G63" s="255">
        <f t="shared" si="18"/>
        <v>0</v>
      </c>
      <c r="H63" s="255">
        <f t="shared" si="18"/>
        <v>464000</v>
      </c>
      <c r="I63" s="255">
        <f t="shared" si="18"/>
        <v>477000</v>
      </c>
      <c r="J63" s="255">
        <f t="shared" si="18"/>
        <v>492000</v>
      </c>
      <c r="K63" s="255">
        <f t="shared" si="18"/>
        <v>506000</v>
      </c>
      <c r="L63" s="256">
        <f t="shared" si="18"/>
        <v>522000</v>
      </c>
      <c r="M63" s="256">
        <f t="shared" si="18"/>
        <v>537000</v>
      </c>
      <c r="N63" s="256">
        <f t="shared" si="18"/>
        <v>553000</v>
      </c>
      <c r="O63" s="260"/>
      <c r="P63" s="261">
        <f t="shared" si="17"/>
        <v>3551000</v>
      </c>
      <c r="Q63" s="251"/>
    </row>
    <row r="64" spans="1:17" ht="15">
      <c r="A64" s="28"/>
      <c r="B64" s="228" t="s">
        <v>217</v>
      </c>
      <c r="C64" s="228"/>
      <c r="D64" s="228"/>
      <c r="E64" s="229">
        <f>SUM(E62:E63)</f>
        <v>450000</v>
      </c>
      <c r="F64" s="229">
        <f aca="true" t="shared" si="19" ref="F64:N64">SUM(F62:F63)</f>
        <v>0</v>
      </c>
      <c r="G64" s="229">
        <f t="shared" si="19"/>
        <v>450000</v>
      </c>
      <c r="H64" s="229">
        <f t="shared" si="19"/>
        <v>464000</v>
      </c>
      <c r="I64" s="229">
        <f t="shared" si="19"/>
        <v>477000</v>
      </c>
      <c r="J64" s="229">
        <f t="shared" si="19"/>
        <v>492000</v>
      </c>
      <c r="K64" s="229">
        <f t="shared" si="19"/>
        <v>506000</v>
      </c>
      <c r="L64" s="230">
        <f t="shared" si="19"/>
        <v>522000</v>
      </c>
      <c r="M64" s="230">
        <f t="shared" si="19"/>
        <v>537000</v>
      </c>
      <c r="N64" s="230">
        <f t="shared" si="19"/>
        <v>553000</v>
      </c>
      <c r="O64" s="130"/>
      <c r="P64" s="238">
        <f t="shared" si="17"/>
        <v>4451000</v>
      </c>
      <c r="Q64" s="251"/>
    </row>
    <row r="65" spans="1:17" ht="30" customHeight="1">
      <c r="A65" s="249" t="s">
        <v>66</v>
      </c>
      <c r="B65" s="215"/>
      <c r="C65" s="215"/>
      <c r="D65" s="215"/>
      <c r="E65" s="220"/>
      <c r="F65" s="220"/>
      <c r="G65" s="220"/>
      <c r="H65" s="220"/>
      <c r="I65" s="220"/>
      <c r="J65" s="220"/>
      <c r="K65" s="220"/>
      <c r="L65" s="221"/>
      <c r="M65" s="221"/>
      <c r="N65" s="221"/>
      <c r="O65" s="130"/>
      <c r="P65" s="240"/>
      <c r="Q65" s="251"/>
    </row>
    <row r="66" spans="1:17" ht="15">
      <c r="A66" s="28"/>
      <c r="B66" s="215" t="s">
        <v>214</v>
      </c>
      <c r="C66" s="215"/>
      <c r="D66" s="215"/>
      <c r="E66" s="216">
        <f>+'Calculation of Needs'!F13</f>
        <v>4000000</v>
      </c>
      <c r="F66" s="216">
        <f>+'Calculation of Needs'!G13</f>
        <v>1000000</v>
      </c>
      <c r="G66" s="216">
        <f>+'Calculation of Needs'!H13</f>
        <v>1000000</v>
      </c>
      <c r="H66" s="216">
        <f>+'Calculation of Needs'!I13</f>
        <v>0</v>
      </c>
      <c r="I66" s="216">
        <f>+'Calculation of Needs'!J13</f>
        <v>0</v>
      </c>
      <c r="J66" s="216">
        <f>+'Calculation of Needs'!K13</f>
        <v>0</v>
      </c>
      <c r="K66" s="216">
        <f>+'Calculation of Needs'!L13</f>
        <v>0</v>
      </c>
      <c r="L66" s="217">
        <f>+'Calculation of Needs'!M13</f>
        <v>0</v>
      </c>
      <c r="M66" s="217">
        <f>+'Calculation of Needs'!N13</f>
        <v>0</v>
      </c>
      <c r="N66" s="217">
        <f>+'Calculation of Needs'!O13</f>
        <v>0</v>
      </c>
      <c r="O66" s="130"/>
      <c r="P66" s="239">
        <f aca="true" t="shared" si="20" ref="P66:P68">SUM(E66:O66)</f>
        <v>6000000</v>
      </c>
      <c r="Q66" s="251"/>
    </row>
    <row r="67" spans="1:17" ht="15">
      <c r="A67" s="28"/>
      <c r="B67" s="254" t="s">
        <v>215</v>
      </c>
      <c r="C67" s="254"/>
      <c r="D67" s="254"/>
      <c r="E67" s="255">
        <f aca="true" t="shared" si="21" ref="E67:N67">+E14</f>
        <v>120000</v>
      </c>
      <c r="F67" s="255">
        <f t="shared" si="21"/>
        <v>1318000</v>
      </c>
      <c r="G67" s="255">
        <f t="shared" si="21"/>
        <v>1387000</v>
      </c>
      <c r="H67" s="255">
        <f t="shared" si="21"/>
        <v>2459000</v>
      </c>
      <c r="I67" s="255">
        <f t="shared" si="21"/>
        <v>2532000</v>
      </c>
      <c r="J67" s="255">
        <f t="shared" si="21"/>
        <v>2608000</v>
      </c>
      <c r="K67" s="255">
        <f t="shared" si="21"/>
        <v>2687000</v>
      </c>
      <c r="L67" s="256">
        <f t="shared" si="21"/>
        <v>2767000</v>
      </c>
      <c r="M67" s="256">
        <f t="shared" si="21"/>
        <v>2850000</v>
      </c>
      <c r="N67" s="256">
        <f t="shared" si="21"/>
        <v>2796000</v>
      </c>
      <c r="O67" s="260"/>
      <c r="P67" s="261">
        <f t="shared" si="20"/>
        <v>21524000</v>
      </c>
      <c r="Q67" s="251"/>
    </row>
    <row r="68" spans="1:17" ht="15">
      <c r="A68" s="28"/>
      <c r="B68" s="228" t="s">
        <v>218</v>
      </c>
      <c r="C68" s="228"/>
      <c r="D68" s="228"/>
      <c r="E68" s="229">
        <f>SUM(E66:E67)</f>
        <v>4120000</v>
      </c>
      <c r="F68" s="229">
        <f aca="true" t="shared" si="22" ref="F68:N68">SUM(F66:F67)</f>
        <v>2318000</v>
      </c>
      <c r="G68" s="229">
        <f t="shared" si="22"/>
        <v>2387000</v>
      </c>
      <c r="H68" s="229">
        <f t="shared" si="22"/>
        <v>2459000</v>
      </c>
      <c r="I68" s="229">
        <f t="shared" si="22"/>
        <v>2532000</v>
      </c>
      <c r="J68" s="229">
        <f t="shared" si="22"/>
        <v>2608000</v>
      </c>
      <c r="K68" s="229">
        <f t="shared" si="22"/>
        <v>2687000</v>
      </c>
      <c r="L68" s="230">
        <f t="shared" si="22"/>
        <v>2767000</v>
      </c>
      <c r="M68" s="230">
        <f t="shared" si="22"/>
        <v>2850000</v>
      </c>
      <c r="N68" s="230">
        <f t="shared" si="22"/>
        <v>2796000</v>
      </c>
      <c r="O68" s="130"/>
      <c r="P68" s="238">
        <f t="shared" si="20"/>
        <v>27524000</v>
      </c>
      <c r="Q68" s="251"/>
    </row>
    <row r="69" spans="1:17" ht="30" customHeight="1">
      <c r="A69" s="249" t="s">
        <v>224</v>
      </c>
      <c r="B69" s="215"/>
      <c r="C69" s="215"/>
      <c r="D69" s="215"/>
      <c r="E69" s="220"/>
      <c r="F69" s="220"/>
      <c r="G69" s="220"/>
      <c r="H69" s="220"/>
      <c r="I69" s="220"/>
      <c r="J69" s="220"/>
      <c r="K69" s="220"/>
      <c r="L69" s="221"/>
      <c r="M69" s="221"/>
      <c r="N69" s="221"/>
      <c r="O69" s="130"/>
      <c r="P69" s="240"/>
      <c r="Q69" s="251"/>
    </row>
    <row r="70" spans="1:17" ht="15">
      <c r="A70" s="249"/>
      <c r="B70" s="215" t="s">
        <v>214</v>
      </c>
      <c r="C70" s="215"/>
      <c r="D70" s="215"/>
      <c r="E70" s="216">
        <f>+'Calculation of Needs'!F20</f>
        <v>2800000</v>
      </c>
      <c r="F70" s="216">
        <f>+'Calculation of Needs'!G20</f>
        <v>2800000</v>
      </c>
      <c r="G70" s="216">
        <f>+'Calculation of Needs'!H20</f>
        <v>2000000</v>
      </c>
      <c r="H70" s="216">
        <f>+'Calculation of Needs'!I20</f>
        <v>1800000</v>
      </c>
      <c r="I70" s="216">
        <f>+'Calculation of Needs'!J20</f>
        <v>0</v>
      </c>
      <c r="J70" s="216">
        <f>+'Calculation of Needs'!K20</f>
        <v>0</v>
      </c>
      <c r="K70" s="216">
        <f>+'Calculation of Needs'!L20</f>
        <v>0</v>
      </c>
      <c r="L70" s="217">
        <f>+'Calculation of Needs'!M20</f>
        <v>0</v>
      </c>
      <c r="M70" s="217">
        <f>+'Calculation of Needs'!N20</f>
        <v>0</v>
      </c>
      <c r="N70" s="217">
        <f>+'Calculation of Needs'!O20</f>
        <v>0</v>
      </c>
      <c r="O70" s="130"/>
      <c r="P70" s="239">
        <f aca="true" t="shared" si="23" ref="P70:P84">SUM(E70:O70)</f>
        <v>9400000</v>
      </c>
      <c r="Q70" s="251"/>
    </row>
    <row r="71" spans="1:17" ht="15">
      <c r="A71" s="249"/>
      <c r="B71" s="254" t="s">
        <v>215</v>
      </c>
      <c r="C71" s="254"/>
      <c r="D71" s="254"/>
      <c r="E71" s="255">
        <f aca="true" t="shared" si="24" ref="E71:N71">+E15</f>
        <v>805000</v>
      </c>
      <c r="F71" s="255">
        <f t="shared" si="24"/>
        <v>913000</v>
      </c>
      <c r="G71" s="255">
        <f t="shared" si="24"/>
        <v>2325000</v>
      </c>
      <c r="H71" s="255">
        <f t="shared" si="24"/>
        <v>3154000</v>
      </c>
      <c r="I71" s="255">
        <f t="shared" si="24"/>
        <v>5103000</v>
      </c>
      <c r="J71" s="255">
        <f t="shared" si="24"/>
        <v>5256000</v>
      </c>
      <c r="K71" s="255">
        <f t="shared" si="24"/>
        <v>5414000</v>
      </c>
      <c r="L71" s="256">
        <f t="shared" si="24"/>
        <v>5576000</v>
      </c>
      <c r="M71" s="256">
        <f t="shared" si="24"/>
        <v>5743000</v>
      </c>
      <c r="N71" s="256">
        <f t="shared" si="24"/>
        <v>5916000</v>
      </c>
      <c r="O71" s="260"/>
      <c r="P71" s="261">
        <f t="shared" si="23"/>
        <v>40205000</v>
      </c>
      <c r="Q71" s="251"/>
    </row>
    <row r="72" spans="1:17" ht="15">
      <c r="A72" s="249"/>
      <c r="B72" s="228" t="s">
        <v>219</v>
      </c>
      <c r="C72" s="228"/>
      <c r="D72" s="228"/>
      <c r="E72" s="229">
        <f>SUM(E70:E71)</f>
        <v>3605000</v>
      </c>
      <c r="F72" s="229">
        <f aca="true" t="shared" si="25" ref="F72:N72">SUM(F70:F71)</f>
        <v>3713000</v>
      </c>
      <c r="G72" s="229">
        <f t="shared" si="25"/>
        <v>4325000</v>
      </c>
      <c r="H72" s="229">
        <f t="shared" si="25"/>
        <v>4954000</v>
      </c>
      <c r="I72" s="229">
        <f t="shared" si="25"/>
        <v>5103000</v>
      </c>
      <c r="J72" s="229">
        <f t="shared" si="25"/>
        <v>5256000</v>
      </c>
      <c r="K72" s="229">
        <f t="shared" si="25"/>
        <v>5414000</v>
      </c>
      <c r="L72" s="230">
        <f t="shared" si="25"/>
        <v>5576000</v>
      </c>
      <c r="M72" s="230">
        <f t="shared" si="25"/>
        <v>5743000</v>
      </c>
      <c r="N72" s="230">
        <f t="shared" si="25"/>
        <v>5916000</v>
      </c>
      <c r="O72" s="130"/>
      <c r="P72" s="238">
        <f t="shared" si="23"/>
        <v>49605000</v>
      </c>
      <c r="Q72" s="251"/>
    </row>
    <row r="73" spans="1:17" ht="30" customHeight="1">
      <c r="A73" s="249" t="s">
        <v>82</v>
      </c>
      <c r="B73" s="215"/>
      <c r="C73" s="215"/>
      <c r="D73" s="215"/>
      <c r="E73" s="220"/>
      <c r="F73" s="220"/>
      <c r="G73" s="220"/>
      <c r="H73" s="220"/>
      <c r="I73" s="220"/>
      <c r="J73" s="220"/>
      <c r="K73" s="220"/>
      <c r="L73" s="221"/>
      <c r="M73" s="221"/>
      <c r="N73" s="221"/>
      <c r="O73" s="130"/>
      <c r="P73" s="240"/>
      <c r="Q73" s="251"/>
    </row>
    <row r="74" spans="1:17" ht="15">
      <c r="A74" s="249"/>
      <c r="B74" s="215" t="s">
        <v>214</v>
      </c>
      <c r="C74" s="215"/>
      <c r="D74" s="215"/>
      <c r="E74" s="216">
        <f>+'Calculation of Needs'!F35</f>
        <v>0</v>
      </c>
      <c r="F74" s="216">
        <f>+'Calculation of Needs'!G35</f>
        <v>0</v>
      </c>
      <c r="G74" s="216">
        <f>+'Calculation of Needs'!H35</f>
        <v>2000000</v>
      </c>
      <c r="H74" s="216">
        <f>+'Calculation of Needs'!I35</f>
        <v>0</v>
      </c>
      <c r="I74" s="216">
        <f>+'Calculation of Needs'!J35</f>
        <v>0</v>
      </c>
      <c r="J74" s="216">
        <f>+'Calculation of Needs'!K35</f>
        <v>0</v>
      </c>
      <c r="K74" s="216">
        <f>+'Calculation of Needs'!L35</f>
        <v>0</v>
      </c>
      <c r="L74" s="217">
        <f>+'Calculation of Needs'!M35</f>
        <v>0</v>
      </c>
      <c r="M74" s="217">
        <f>+'Calculation of Needs'!N35</f>
        <v>0</v>
      </c>
      <c r="N74" s="217">
        <f>+'Calculation of Needs'!O35</f>
        <v>0</v>
      </c>
      <c r="O74" s="130"/>
      <c r="P74" s="239">
        <f t="shared" si="23"/>
        <v>2000000</v>
      </c>
      <c r="Q74" s="251"/>
    </row>
    <row r="75" spans="1:17" ht="15">
      <c r="A75" s="249"/>
      <c r="B75" s="262" t="s">
        <v>215</v>
      </c>
      <c r="C75" s="262"/>
      <c r="D75" s="262"/>
      <c r="E75" s="263">
        <f aca="true" t="shared" si="26" ref="E75:N75">+E18</f>
        <v>2000000</v>
      </c>
      <c r="F75" s="263">
        <f t="shared" si="26"/>
        <v>0</v>
      </c>
      <c r="G75" s="263">
        <f t="shared" si="26"/>
        <v>122000</v>
      </c>
      <c r="H75" s="263">
        <f t="shared" si="26"/>
        <v>0</v>
      </c>
      <c r="I75" s="263">
        <f t="shared" si="26"/>
        <v>2251000</v>
      </c>
      <c r="J75" s="263">
        <f t="shared" si="26"/>
        <v>0</v>
      </c>
      <c r="K75" s="263">
        <f t="shared" si="26"/>
        <v>2388000</v>
      </c>
      <c r="L75" s="264">
        <f t="shared" si="26"/>
        <v>0</v>
      </c>
      <c r="M75" s="264">
        <f t="shared" si="26"/>
        <v>2534000</v>
      </c>
      <c r="N75" s="264">
        <f t="shared" si="26"/>
        <v>0</v>
      </c>
      <c r="O75" s="265"/>
      <c r="P75" s="266">
        <f t="shared" si="23"/>
        <v>9295000</v>
      </c>
      <c r="Q75" s="251"/>
    </row>
    <row r="76" spans="1:17" ht="15">
      <c r="A76" s="249"/>
      <c r="B76" s="228" t="s">
        <v>220</v>
      </c>
      <c r="C76" s="228"/>
      <c r="D76" s="228"/>
      <c r="E76" s="229">
        <f>SUM(E74:E75)</f>
        <v>2000000</v>
      </c>
      <c r="F76" s="229">
        <f aca="true" t="shared" si="27" ref="F76:N76">SUM(F74:F75)</f>
        <v>0</v>
      </c>
      <c r="G76" s="229">
        <f t="shared" si="27"/>
        <v>2122000</v>
      </c>
      <c r="H76" s="229">
        <f t="shared" si="27"/>
        <v>0</v>
      </c>
      <c r="I76" s="229">
        <f t="shared" si="27"/>
        <v>2251000</v>
      </c>
      <c r="J76" s="229">
        <f t="shared" si="27"/>
        <v>0</v>
      </c>
      <c r="K76" s="229">
        <f t="shared" si="27"/>
        <v>2388000</v>
      </c>
      <c r="L76" s="230">
        <f t="shared" si="27"/>
        <v>0</v>
      </c>
      <c r="M76" s="230">
        <f t="shared" si="27"/>
        <v>2534000</v>
      </c>
      <c r="N76" s="230">
        <f t="shared" si="27"/>
        <v>0</v>
      </c>
      <c r="O76" s="130"/>
      <c r="P76" s="238">
        <f t="shared" si="23"/>
        <v>11295000</v>
      </c>
      <c r="Q76" s="251"/>
    </row>
    <row r="77" spans="1:17" ht="30" customHeight="1">
      <c r="A77" s="249" t="s">
        <v>76</v>
      </c>
      <c r="B77" s="215"/>
      <c r="C77" s="215"/>
      <c r="D77" s="215"/>
      <c r="E77" s="220"/>
      <c r="F77" s="220"/>
      <c r="G77" s="220"/>
      <c r="H77" s="220"/>
      <c r="I77" s="220"/>
      <c r="J77" s="220"/>
      <c r="K77" s="220"/>
      <c r="L77" s="221"/>
      <c r="M77" s="221"/>
      <c r="N77" s="221"/>
      <c r="O77" s="130"/>
      <c r="P77" s="240"/>
      <c r="Q77" s="251"/>
    </row>
    <row r="78" spans="1:17" ht="15">
      <c r="A78" s="249"/>
      <c r="B78" s="215" t="s">
        <v>214</v>
      </c>
      <c r="C78" s="215"/>
      <c r="D78" s="215"/>
      <c r="E78" s="216">
        <f>+'Calculation of Needs'!F25</f>
        <v>500000</v>
      </c>
      <c r="F78" s="216">
        <f>+'Calculation of Needs'!G25</f>
        <v>0</v>
      </c>
      <c r="G78" s="216">
        <f>+'Calculation of Needs'!H25</f>
        <v>0</v>
      </c>
      <c r="H78" s="216">
        <f>+'Calculation of Needs'!I25</f>
        <v>0</v>
      </c>
      <c r="I78" s="216">
        <f>+'Calculation of Needs'!J25</f>
        <v>0</v>
      </c>
      <c r="J78" s="216">
        <f>+'Calculation of Needs'!K25</f>
        <v>0</v>
      </c>
      <c r="K78" s="216">
        <f>+'Calculation of Needs'!L25</f>
        <v>0</v>
      </c>
      <c r="L78" s="217">
        <f>+'Calculation of Needs'!M25</f>
        <v>0</v>
      </c>
      <c r="M78" s="217">
        <f>+'Calculation of Needs'!N25</f>
        <v>0</v>
      </c>
      <c r="N78" s="217">
        <f>+'Calculation of Needs'!O25</f>
        <v>0</v>
      </c>
      <c r="O78" s="130"/>
      <c r="P78" s="239">
        <f t="shared" si="23"/>
        <v>500000</v>
      </c>
      <c r="Q78" s="251"/>
    </row>
    <row r="79" spans="1:17" ht="15">
      <c r="A79" s="249"/>
      <c r="B79" s="254" t="s">
        <v>215</v>
      </c>
      <c r="C79" s="254"/>
      <c r="D79" s="254"/>
      <c r="E79" s="255">
        <f aca="true" t="shared" si="28" ref="E79:N79">+E17</f>
        <v>15000</v>
      </c>
      <c r="F79" s="255">
        <f t="shared" si="28"/>
        <v>530000</v>
      </c>
      <c r="G79" s="255">
        <f t="shared" si="28"/>
        <v>546000</v>
      </c>
      <c r="H79" s="255">
        <f t="shared" si="28"/>
        <v>563000</v>
      </c>
      <c r="I79" s="255">
        <f t="shared" si="28"/>
        <v>580000</v>
      </c>
      <c r="J79" s="255">
        <f t="shared" si="28"/>
        <v>597000</v>
      </c>
      <c r="K79" s="255">
        <f t="shared" si="28"/>
        <v>615000</v>
      </c>
      <c r="L79" s="256">
        <f t="shared" si="28"/>
        <v>633000</v>
      </c>
      <c r="M79" s="256">
        <f t="shared" si="28"/>
        <v>652000</v>
      </c>
      <c r="N79" s="256">
        <f t="shared" si="28"/>
        <v>672000</v>
      </c>
      <c r="O79" s="260"/>
      <c r="P79" s="261">
        <f t="shared" si="23"/>
        <v>5403000</v>
      </c>
      <c r="Q79" s="251"/>
    </row>
    <row r="80" spans="1:17" ht="15">
      <c r="A80" s="249"/>
      <c r="B80" s="228" t="s">
        <v>221</v>
      </c>
      <c r="C80" s="228"/>
      <c r="D80" s="228"/>
      <c r="E80" s="229">
        <f>SUM(E78:E79)</f>
        <v>515000</v>
      </c>
      <c r="F80" s="229">
        <f aca="true" t="shared" si="29" ref="F80:N80">SUM(F78:F79)</f>
        <v>530000</v>
      </c>
      <c r="G80" s="229">
        <f t="shared" si="29"/>
        <v>546000</v>
      </c>
      <c r="H80" s="229">
        <f t="shared" si="29"/>
        <v>563000</v>
      </c>
      <c r="I80" s="229">
        <f t="shared" si="29"/>
        <v>580000</v>
      </c>
      <c r="J80" s="229">
        <f t="shared" si="29"/>
        <v>597000</v>
      </c>
      <c r="K80" s="229">
        <f t="shared" si="29"/>
        <v>615000</v>
      </c>
      <c r="L80" s="230">
        <f t="shared" si="29"/>
        <v>633000</v>
      </c>
      <c r="M80" s="230">
        <f t="shared" si="29"/>
        <v>652000</v>
      </c>
      <c r="N80" s="230">
        <f t="shared" si="29"/>
        <v>672000</v>
      </c>
      <c r="O80" s="130"/>
      <c r="P80" s="238">
        <f t="shared" si="23"/>
        <v>5903000</v>
      </c>
      <c r="Q80" s="251"/>
    </row>
    <row r="81" spans="1:17" ht="30" customHeight="1">
      <c r="A81" s="250" t="s">
        <v>212</v>
      </c>
      <c r="B81" s="215"/>
      <c r="C81" s="215"/>
      <c r="D81" s="215"/>
      <c r="E81" s="220"/>
      <c r="F81" s="220"/>
      <c r="G81" s="220"/>
      <c r="H81" s="220"/>
      <c r="I81" s="220"/>
      <c r="J81" s="220"/>
      <c r="K81" s="220"/>
      <c r="L81" s="221"/>
      <c r="M81" s="221"/>
      <c r="N81" s="221"/>
      <c r="O81" s="130"/>
      <c r="P81" s="240"/>
      <c r="Q81" s="251"/>
    </row>
    <row r="82" spans="1:17" ht="15">
      <c r="A82" s="28"/>
      <c r="B82" s="215" t="s">
        <v>214</v>
      </c>
      <c r="C82" s="215"/>
      <c r="D82" s="215"/>
      <c r="E82" s="216">
        <v>1295000</v>
      </c>
      <c r="F82" s="216">
        <v>730000</v>
      </c>
      <c r="G82" s="216">
        <v>1040000</v>
      </c>
      <c r="H82" s="216">
        <v>910000</v>
      </c>
      <c r="I82" s="216">
        <v>0</v>
      </c>
      <c r="J82" s="216">
        <v>0</v>
      </c>
      <c r="K82" s="216"/>
      <c r="L82" s="217"/>
      <c r="M82" s="217"/>
      <c r="N82" s="217"/>
      <c r="O82" s="130"/>
      <c r="P82" s="239">
        <f t="shared" si="23"/>
        <v>3975000</v>
      </c>
      <c r="Q82" s="251"/>
    </row>
    <row r="83" spans="1:17" ht="15">
      <c r="A83" s="28"/>
      <c r="B83" s="254" t="s">
        <v>215</v>
      </c>
      <c r="C83" s="254"/>
      <c r="D83" s="254"/>
      <c r="E83" s="255">
        <f aca="true" t="shared" si="30" ref="E83:N83">+E20</f>
        <v>222000</v>
      </c>
      <c r="F83" s="255">
        <f t="shared" si="30"/>
        <v>243000</v>
      </c>
      <c r="G83" s="255">
        <f t="shared" si="30"/>
        <v>306000</v>
      </c>
      <c r="H83" s="255">
        <f t="shared" si="30"/>
        <v>424000</v>
      </c>
      <c r="I83" s="255">
        <f t="shared" si="30"/>
        <v>719000</v>
      </c>
      <c r="J83" s="255">
        <f t="shared" si="30"/>
        <v>625000</v>
      </c>
      <c r="K83" s="255">
        <f t="shared" si="30"/>
        <v>763000</v>
      </c>
      <c r="L83" s="256">
        <f t="shared" si="30"/>
        <v>663000</v>
      </c>
      <c r="M83" s="256">
        <f t="shared" si="30"/>
        <v>810000</v>
      </c>
      <c r="N83" s="256">
        <f t="shared" si="30"/>
        <v>697000</v>
      </c>
      <c r="O83" s="260"/>
      <c r="P83" s="261">
        <f t="shared" si="23"/>
        <v>5472000</v>
      </c>
      <c r="Q83" s="251"/>
    </row>
    <row r="84" spans="1:17" ht="15">
      <c r="A84" s="28"/>
      <c r="B84" s="228" t="s">
        <v>222</v>
      </c>
      <c r="C84" s="228"/>
      <c r="D84" s="228"/>
      <c r="E84" s="229">
        <f>SUM(E82:E83)</f>
        <v>1517000</v>
      </c>
      <c r="F84" s="229">
        <f aca="true" t="shared" si="31" ref="F84:N84">SUM(F82:F83)</f>
        <v>973000</v>
      </c>
      <c r="G84" s="229">
        <f t="shared" si="31"/>
        <v>1346000</v>
      </c>
      <c r="H84" s="229">
        <f t="shared" si="31"/>
        <v>1334000</v>
      </c>
      <c r="I84" s="229">
        <f t="shared" si="31"/>
        <v>719000</v>
      </c>
      <c r="J84" s="229">
        <f t="shared" si="31"/>
        <v>625000</v>
      </c>
      <c r="K84" s="229">
        <f t="shared" si="31"/>
        <v>763000</v>
      </c>
      <c r="L84" s="230">
        <f t="shared" si="31"/>
        <v>663000</v>
      </c>
      <c r="M84" s="230">
        <f t="shared" si="31"/>
        <v>810000</v>
      </c>
      <c r="N84" s="230">
        <f t="shared" si="31"/>
        <v>697000</v>
      </c>
      <c r="O84" s="130"/>
      <c r="P84" s="238">
        <f t="shared" si="23"/>
        <v>9447000</v>
      </c>
      <c r="Q84" s="251"/>
    </row>
    <row r="85" spans="1:17" ht="15">
      <c r="A85" s="130"/>
      <c r="B85" s="215"/>
      <c r="C85" s="215"/>
      <c r="D85" s="215"/>
      <c r="E85" s="220"/>
      <c r="F85" s="220"/>
      <c r="G85" s="220"/>
      <c r="H85" s="220"/>
      <c r="I85" s="220"/>
      <c r="J85" s="220"/>
      <c r="K85" s="220"/>
      <c r="L85" s="221"/>
      <c r="M85" s="221"/>
      <c r="N85" s="221"/>
      <c r="O85" s="130"/>
      <c r="P85" s="240"/>
      <c r="Q85" s="251"/>
    </row>
    <row r="86" spans="2:17" ht="15">
      <c r="B86" s="215"/>
      <c r="C86" s="215"/>
      <c r="D86" s="215"/>
      <c r="E86" s="220"/>
      <c r="F86" s="220"/>
      <c r="G86" s="220"/>
      <c r="H86" s="220"/>
      <c r="I86" s="220"/>
      <c r="J86" s="220"/>
      <c r="K86" s="220"/>
      <c r="L86" s="221"/>
      <c r="M86" s="221"/>
      <c r="N86" s="221"/>
      <c r="P86" s="240"/>
      <c r="Q86" s="251"/>
    </row>
    <row r="87" spans="2:17" ht="15">
      <c r="B87" s="182"/>
      <c r="C87" s="182"/>
      <c r="D87" s="182"/>
      <c r="E87" s="192"/>
      <c r="F87" s="192"/>
      <c r="G87" s="192"/>
      <c r="H87" s="192"/>
      <c r="I87" s="192"/>
      <c r="J87" s="192"/>
      <c r="K87" s="192"/>
      <c r="L87" s="180"/>
      <c r="M87" s="180"/>
      <c r="N87" s="180"/>
      <c r="P87" s="181"/>
      <c r="Q87" s="251"/>
    </row>
    <row r="88" ht="15">
      <c r="Q88" s="251"/>
    </row>
    <row r="89" ht="15">
      <c r="Q89" s="251"/>
    </row>
    <row r="90" ht="15">
      <c r="Q90" s="251"/>
    </row>
    <row r="91" ht="15">
      <c r="Q91" s="251"/>
    </row>
    <row r="92" ht="15">
      <c r="Q92" s="251"/>
    </row>
    <row r="93" ht="15">
      <c r="Q93" s="251"/>
    </row>
    <row r="94" ht="15">
      <c r="Q94" s="251"/>
    </row>
    <row r="95" ht="15">
      <c r="Q95" s="251"/>
    </row>
    <row r="96" ht="15">
      <c r="Q96" s="251"/>
    </row>
    <row r="97" ht="15">
      <c r="Q97" s="251"/>
    </row>
    <row r="98" ht="15">
      <c r="Q98" s="251"/>
    </row>
    <row r="99" ht="15">
      <c r="Q99" s="251"/>
    </row>
    <row r="100" ht="15">
      <c r="Q100" s="251"/>
    </row>
    <row r="101" ht="15">
      <c r="Q101" s="251"/>
    </row>
    <row r="102" ht="15">
      <c r="Q102" s="251"/>
    </row>
    <row r="103" ht="15">
      <c r="Q103" s="251"/>
    </row>
    <row r="104" ht="15">
      <c r="Q104" s="251"/>
    </row>
    <row r="105" ht="15">
      <c r="Q105" s="251"/>
    </row>
    <row r="106" ht="15">
      <c r="Q106" s="251"/>
    </row>
    <row r="107" ht="15">
      <c r="Q107" s="251"/>
    </row>
    <row r="108" ht="15">
      <c r="Q108" s="251"/>
    </row>
    <row r="109" ht="15">
      <c r="Q109" s="251"/>
    </row>
    <row r="110" ht="15">
      <c r="Q110" s="251"/>
    </row>
    <row r="111" ht="15">
      <c r="Q111" s="251"/>
    </row>
    <row r="112" ht="15">
      <c r="Q112" s="251"/>
    </row>
    <row r="113" ht="15">
      <c r="Q113" s="251"/>
    </row>
    <row r="114" ht="15">
      <c r="Q114" s="251"/>
    </row>
    <row r="115" ht="15">
      <c r="Q115" s="251"/>
    </row>
    <row r="116" ht="15">
      <c r="Q116" s="251"/>
    </row>
  </sheetData>
  <printOptions/>
  <pageMargins left="0.25" right="0.25" top="0.75" bottom="0.75" header="0.3" footer="0.3"/>
  <pageSetup fitToHeight="1" fitToWidth="1" horizontalDpi="600" verticalDpi="600" orientation="landscape" paperSize="17" scale="77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I4:W29"/>
  <sheetViews>
    <sheetView workbookViewId="0" topLeftCell="J1">
      <selection activeCell="I19" sqref="I19:P19"/>
    </sheetView>
  </sheetViews>
  <sheetFormatPr defaultColWidth="9.140625" defaultRowHeight="15"/>
  <cols>
    <col min="9" max="9" width="23.140625" style="0" bestFit="1" customWidth="1"/>
    <col min="10" max="12" width="12.00390625" style="0" customWidth="1"/>
    <col min="13" max="14" width="13.28125" style="0" bestFit="1" customWidth="1"/>
    <col min="15" max="21" width="14.28125" style="0" bestFit="1" customWidth="1"/>
    <col min="22" max="23" width="11.57421875" style="0" bestFit="1" customWidth="1"/>
  </cols>
  <sheetData>
    <row r="4" spans="10:23" ht="15"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  <c r="V4">
        <v>2031</v>
      </c>
      <c r="W4">
        <v>2032</v>
      </c>
    </row>
    <row r="5" spans="12:23" ht="15"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2:23" ht="15"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9:23" ht="15">
      <c r="I7" s="289" t="s">
        <v>235</v>
      </c>
      <c r="J7" s="290"/>
      <c r="K7" s="290"/>
      <c r="L7" s="290">
        <v>20830000</v>
      </c>
      <c r="M7" s="290">
        <v>20572000</v>
      </c>
      <c r="N7" s="290">
        <v>20030000</v>
      </c>
      <c r="O7" s="290">
        <v>19100000</v>
      </c>
      <c r="P7" s="290">
        <v>17933000</v>
      </c>
      <c r="Q7" s="290">
        <v>17602000</v>
      </c>
      <c r="R7" s="290">
        <v>11952000</v>
      </c>
      <c r="S7" s="290">
        <v>8652000</v>
      </c>
      <c r="T7" s="69"/>
      <c r="U7" s="69"/>
      <c r="V7" s="69"/>
      <c r="W7" s="69"/>
    </row>
    <row r="8" spans="10:23" ht="15"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0:23" ht="15"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9:23" ht="15">
      <c r="I10" t="s">
        <v>234</v>
      </c>
      <c r="J10" s="69"/>
      <c r="K10" s="69"/>
      <c r="L10" s="69">
        <f>+L26</f>
        <v>5210750</v>
      </c>
      <c r="M10" s="69">
        <f aca="true" t="shared" si="0" ref="M10:U10">+M26</f>
        <v>7879000</v>
      </c>
      <c r="N10" s="69">
        <f t="shared" si="0"/>
        <v>9365500</v>
      </c>
      <c r="O10" s="69">
        <f t="shared" si="0"/>
        <v>11008000</v>
      </c>
      <c r="P10" s="69">
        <f t="shared" si="0"/>
        <v>16034500</v>
      </c>
      <c r="Q10" s="69">
        <f t="shared" si="0"/>
        <v>16319500</v>
      </c>
      <c r="R10" s="69">
        <f t="shared" si="0"/>
        <v>16916000</v>
      </c>
      <c r="S10" s="69">
        <f t="shared" si="0"/>
        <v>17217000</v>
      </c>
      <c r="T10" s="69">
        <f t="shared" si="0"/>
        <v>17849000</v>
      </c>
      <c r="U10" s="69">
        <f t="shared" si="0"/>
        <v>17756000</v>
      </c>
      <c r="V10" s="69"/>
      <c r="W10" s="69"/>
    </row>
    <row r="11" spans="10:23" ht="15"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0:23" ht="15"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9:23" ht="15">
      <c r="I13" t="s">
        <v>236</v>
      </c>
      <c r="J13" s="69"/>
      <c r="K13" s="69"/>
      <c r="L13" s="69">
        <v>20830000</v>
      </c>
      <c r="M13" s="69">
        <v>20572000</v>
      </c>
      <c r="N13" s="69">
        <v>20030000</v>
      </c>
      <c r="O13" s="69">
        <v>19100000</v>
      </c>
      <c r="P13" s="69">
        <v>17933000</v>
      </c>
      <c r="Q13" s="69">
        <v>17602000</v>
      </c>
      <c r="R13" s="69">
        <v>11952000</v>
      </c>
      <c r="S13" s="69">
        <v>8652000</v>
      </c>
      <c r="T13" s="69">
        <v>5652000</v>
      </c>
      <c r="U13" s="69">
        <v>2652000</v>
      </c>
      <c r="V13" s="69">
        <v>-878000</v>
      </c>
      <c r="W13" s="69">
        <v>-4620000</v>
      </c>
    </row>
    <row r="14" spans="10:23" ht="15"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9:23" ht="15">
      <c r="I15" t="s">
        <v>233</v>
      </c>
      <c r="J15" s="69">
        <v>14695000</v>
      </c>
      <c r="K15" s="69">
        <v>14795000</v>
      </c>
      <c r="L15" s="69">
        <v>11426000</v>
      </c>
      <c r="M15" s="69">
        <v>7426000</v>
      </c>
      <c r="N15" s="69">
        <v>6142000</v>
      </c>
      <c r="O15" s="69">
        <v>4042000</v>
      </c>
      <c r="P15" s="69">
        <v>0</v>
      </c>
      <c r="Q15" s="69"/>
      <c r="R15" s="69"/>
      <c r="S15" s="69"/>
      <c r="T15" s="69"/>
      <c r="U15" s="69"/>
      <c r="V15" s="69"/>
      <c r="W15" s="69"/>
    </row>
    <row r="16" spans="9:23" ht="15">
      <c r="I16" t="s">
        <v>265</v>
      </c>
      <c r="J16" s="69"/>
      <c r="K16" s="69"/>
      <c r="L16" s="69"/>
      <c r="M16" s="69"/>
      <c r="N16" s="69"/>
      <c r="O16" s="69"/>
      <c r="P16" s="69">
        <v>-300000</v>
      </c>
      <c r="Q16" s="69">
        <v>-3500000</v>
      </c>
      <c r="R16" s="69">
        <v>-6000000</v>
      </c>
      <c r="S16" s="69">
        <v>-9300000</v>
      </c>
      <c r="T16" s="69">
        <v>-12300000</v>
      </c>
      <c r="U16" s="69">
        <v>-15300000</v>
      </c>
      <c r="V16" s="69">
        <v>-18000000</v>
      </c>
      <c r="W16" s="69">
        <v>-21000000</v>
      </c>
    </row>
    <row r="17" spans="9:23" ht="15">
      <c r="I17" t="s">
        <v>263</v>
      </c>
      <c r="J17" s="69"/>
      <c r="K17" s="69"/>
      <c r="L17" s="69">
        <f aca="true" t="shared" si="1" ref="L17:U17">+L10+L15</f>
        <v>16636750</v>
      </c>
      <c r="M17" s="69">
        <f t="shared" si="1"/>
        <v>15305000</v>
      </c>
      <c r="N17" s="69">
        <f t="shared" si="1"/>
        <v>15507500</v>
      </c>
      <c r="O17" s="69">
        <f t="shared" si="1"/>
        <v>15050000</v>
      </c>
      <c r="P17" s="69">
        <f t="shared" si="1"/>
        <v>16034500</v>
      </c>
      <c r="Q17" s="69">
        <f t="shared" si="1"/>
        <v>16319500</v>
      </c>
      <c r="R17" s="69">
        <f t="shared" si="1"/>
        <v>16916000</v>
      </c>
      <c r="S17" s="69">
        <f t="shared" si="1"/>
        <v>17217000</v>
      </c>
      <c r="T17" s="69">
        <f t="shared" si="1"/>
        <v>17849000</v>
      </c>
      <c r="U17" s="69">
        <f t="shared" si="1"/>
        <v>17756000</v>
      </c>
      <c r="V17" s="69">
        <v>0</v>
      </c>
      <c r="W17" s="69"/>
    </row>
    <row r="18" spans="10:23" ht="15"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285"/>
    </row>
    <row r="19" spans="9:23" ht="15">
      <c r="I19" t="s">
        <v>237</v>
      </c>
      <c r="J19" s="69"/>
      <c r="K19" s="69"/>
      <c r="L19" s="69">
        <f>+L15</f>
        <v>11426000</v>
      </c>
      <c r="M19" s="69">
        <f aca="true" t="shared" si="2" ref="M19:P19">+M15</f>
        <v>7426000</v>
      </c>
      <c r="N19" s="69">
        <f t="shared" si="2"/>
        <v>6142000</v>
      </c>
      <c r="O19" s="69">
        <f t="shared" si="2"/>
        <v>4042000</v>
      </c>
      <c r="P19" s="69">
        <f t="shared" si="2"/>
        <v>0</v>
      </c>
      <c r="Q19" s="69"/>
      <c r="R19" s="69"/>
      <c r="S19" s="69"/>
      <c r="T19" s="69"/>
      <c r="U19" s="69"/>
      <c r="V19" s="69"/>
      <c r="W19" s="69"/>
    </row>
    <row r="20" spans="9:23" ht="15">
      <c r="I20" t="s">
        <v>264</v>
      </c>
      <c r="J20" s="69"/>
      <c r="K20" s="69"/>
      <c r="L20" s="69">
        <f>+L17-L15</f>
        <v>5210750</v>
      </c>
      <c r="M20" s="69">
        <f aca="true" t="shared" si="3" ref="M20:U20">+M17-M15</f>
        <v>7879000</v>
      </c>
      <c r="N20" s="69">
        <f t="shared" si="3"/>
        <v>9365500</v>
      </c>
      <c r="O20" s="69">
        <f t="shared" si="3"/>
        <v>11008000</v>
      </c>
      <c r="P20" s="69">
        <f t="shared" si="3"/>
        <v>16034500</v>
      </c>
      <c r="Q20" s="69">
        <f t="shared" si="3"/>
        <v>16319500</v>
      </c>
      <c r="R20" s="69">
        <f t="shared" si="3"/>
        <v>16916000</v>
      </c>
      <c r="S20" s="69">
        <f t="shared" si="3"/>
        <v>17217000</v>
      </c>
      <c r="T20" s="69">
        <f t="shared" si="3"/>
        <v>17849000</v>
      </c>
      <c r="U20" s="69">
        <f t="shared" si="3"/>
        <v>17756000</v>
      </c>
      <c r="V20" s="69"/>
      <c r="W20" s="69"/>
    </row>
    <row r="21" spans="9:23" ht="15">
      <c r="I21" t="s">
        <v>238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/>
      <c r="R21" s="69"/>
      <c r="S21" s="69"/>
      <c r="T21" s="69"/>
      <c r="U21" s="69"/>
      <c r="V21" s="69"/>
      <c r="W21" s="69"/>
    </row>
    <row r="22" spans="9:23" ht="15">
      <c r="I22" t="s">
        <v>261</v>
      </c>
      <c r="P22" s="69"/>
      <c r="Q22" s="69">
        <v>-3500000</v>
      </c>
      <c r="R22" s="69">
        <v>-6000000</v>
      </c>
      <c r="S22" s="69">
        <v>-9300000</v>
      </c>
      <c r="T22" s="69">
        <v>-12300000</v>
      </c>
      <c r="U22" s="69">
        <v>-15300000</v>
      </c>
      <c r="V22">
        <v>-18000000</v>
      </c>
      <c r="W22">
        <v>-21000000</v>
      </c>
    </row>
    <row r="23" spans="9:21" ht="15">
      <c r="I23" s="292" t="s">
        <v>262</v>
      </c>
      <c r="J23" s="292"/>
      <c r="K23" s="292"/>
      <c r="L23" s="293">
        <v>6210750</v>
      </c>
      <c r="M23" s="293">
        <v>6879000</v>
      </c>
      <c r="N23" s="293">
        <v>9426500</v>
      </c>
      <c r="O23" s="293">
        <v>10947000</v>
      </c>
      <c r="P23" s="293">
        <v>17160000</v>
      </c>
      <c r="Q23" s="293">
        <v>15194000</v>
      </c>
      <c r="R23" s="293">
        <v>18110000</v>
      </c>
      <c r="S23" s="293">
        <v>16023000</v>
      </c>
      <c r="T23" s="293">
        <v>19116000</v>
      </c>
      <c r="U23" s="293">
        <v>16756000</v>
      </c>
    </row>
    <row r="24" spans="9:21" ht="15">
      <c r="I24" s="292"/>
      <c r="J24" s="292"/>
      <c r="K24" s="292"/>
      <c r="L24" s="292">
        <v>2000000</v>
      </c>
      <c r="M24" s="292">
        <v>0</v>
      </c>
      <c r="N24" s="292">
        <v>122000</v>
      </c>
      <c r="O24" s="292">
        <v>0</v>
      </c>
      <c r="P24" s="292">
        <v>2251000</v>
      </c>
      <c r="Q24" s="292">
        <v>0</v>
      </c>
      <c r="R24" s="292">
        <v>2388000</v>
      </c>
      <c r="S24" s="292">
        <v>0</v>
      </c>
      <c r="T24" s="292">
        <v>2534000</v>
      </c>
      <c r="U24" s="292">
        <v>0</v>
      </c>
    </row>
    <row r="25" spans="9:21" ht="15">
      <c r="I25" s="292"/>
      <c r="J25" s="292"/>
      <c r="K25" s="292"/>
      <c r="L25" s="292">
        <f>-L24/2</f>
        <v>-1000000</v>
      </c>
      <c r="M25" s="292">
        <f>+L24/2</f>
        <v>1000000</v>
      </c>
      <c r="N25" s="292">
        <f>-N24/2</f>
        <v>-61000</v>
      </c>
      <c r="O25" s="292">
        <f>+N24/2</f>
        <v>61000</v>
      </c>
      <c r="P25" s="292">
        <f>-P24/2</f>
        <v>-1125500</v>
      </c>
      <c r="Q25" s="292">
        <f>+P24/2</f>
        <v>1125500</v>
      </c>
      <c r="R25" s="292">
        <f>-R24/2</f>
        <v>-1194000</v>
      </c>
      <c r="S25" s="292">
        <f>+R24/2</f>
        <v>1194000</v>
      </c>
      <c r="T25" s="292">
        <f>-T24/2</f>
        <v>-1267000</v>
      </c>
      <c r="U25" s="292">
        <v>1000000</v>
      </c>
    </row>
    <row r="26" spans="9:21" ht="15">
      <c r="I26" s="292"/>
      <c r="J26" s="292"/>
      <c r="K26" s="292"/>
      <c r="L26" s="293">
        <f>+L23+L25</f>
        <v>5210750</v>
      </c>
      <c r="M26" s="293">
        <f aca="true" t="shared" si="4" ref="M26:U26">+M23+M25</f>
        <v>7879000</v>
      </c>
      <c r="N26" s="293">
        <f t="shared" si="4"/>
        <v>9365500</v>
      </c>
      <c r="O26" s="293">
        <f t="shared" si="4"/>
        <v>11008000</v>
      </c>
      <c r="P26" s="293">
        <f t="shared" si="4"/>
        <v>16034500</v>
      </c>
      <c r="Q26" s="293">
        <f t="shared" si="4"/>
        <v>16319500</v>
      </c>
      <c r="R26" s="293">
        <f t="shared" si="4"/>
        <v>16916000</v>
      </c>
      <c r="S26" s="293">
        <f t="shared" si="4"/>
        <v>17217000</v>
      </c>
      <c r="T26" s="293">
        <f t="shared" si="4"/>
        <v>17849000</v>
      </c>
      <c r="U26" s="293">
        <f t="shared" si="4"/>
        <v>17756000</v>
      </c>
    </row>
    <row r="28" spans="12:21" ht="15"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7:22" ht="15">
      <c r="Q29" s="216"/>
      <c r="R29" s="216"/>
      <c r="S29" s="216"/>
      <c r="T29" s="217"/>
      <c r="U29" s="217"/>
      <c r="V29" s="217"/>
    </row>
  </sheetData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2"/>
  <sheetViews>
    <sheetView showGridLines="0" workbookViewId="0" topLeftCell="A1"/>
  </sheetViews>
  <sheetFormatPr defaultColWidth="9.140625" defaultRowHeight="15"/>
  <cols>
    <col min="2" max="2" width="8.00390625" style="0" bestFit="1" customWidth="1"/>
    <col min="3" max="3" width="35.140625" style="0" bestFit="1" customWidth="1"/>
    <col min="4" max="17" width="9.8515625" style="0" bestFit="1" customWidth="1"/>
    <col min="22" max="28" width="14.28125" style="0" bestFit="1" customWidth="1"/>
  </cols>
  <sheetData>
    <row r="3" spans="4:5" ht="15">
      <c r="D3" t="s">
        <v>213</v>
      </c>
      <c r="E3" s="242">
        <v>0.03</v>
      </c>
    </row>
    <row r="4" spans="4:28" ht="15">
      <c r="D4">
        <v>2019</v>
      </c>
      <c r="E4">
        <v>2020</v>
      </c>
      <c r="F4">
        <v>2021</v>
      </c>
      <c r="G4">
        <v>2022</v>
      </c>
      <c r="H4">
        <v>2023</v>
      </c>
      <c r="I4">
        <v>2024</v>
      </c>
      <c r="J4">
        <v>2025</v>
      </c>
      <c r="K4">
        <v>2026</v>
      </c>
      <c r="L4">
        <v>2027</v>
      </c>
      <c r="M4">
        <v>2028</v>
      </c>
      <c r="N4">
        <v>2029</v>
      </c>
      <c r="O4">
        <v>2030</v>
      </c>
      <c r="P4">
        <v>2031</v>
      </c>
      <c r="Q4">
        <v>2032</v>
      </c>
      <c r="U4" s="321" t="s">
        <v>245</v>
      </c>
      <c r="V4" s="321"/>
      <c r="W4" s="321"/>
      <c r="X4" s="321"/>
      <c r="Y4" s="321"/>
      <c r="Z4" s="321"/>
      <c r="AA4" s="321"/>
      <c r="AB4" s="321"/>
    </row>
    <row r="5" spans="22:27" ht="15">
      <c r="V5" t="s">
        <v>246</v>
      </c>
      <c r="W5" t="s">
        <v>247</v>
      </c>
      <c r="X5" t="s">
        <v>248</v>
      </c>
      <c r="Y5" t="s">
        <v>249</v>
      </c>
      <c r="Z5" t="s">
        <v>250</v>
      </c>
      <c r="AA5" t="s">
        <v>251</v>
      </c>
    </row>
    <row r="6" spans="1:18" s="47" customFormat="1" ht="15">
      <c r="A6" s="41"/>
      <c r="B6" s="187">
        <v>1129584</v>
      </c>
      <c r="C6" s="188" t="s">
        <v>65</v>
      </c>
      <c r="D6" s="189">
        <v>1500000</v>
      </c>
      <c r="E6" s="189">
        <v>1500000</v>
      </c>
      <c r="F6" s="189">
        <v>1500000</v>
      </c>
      <c r="G6" s="189">
        <v>1500000</v>
      </c>
      <c r="H6" s="189">
        <v>1500000</v>
      </c>
      <c r="I6" s="189">
        <v>1500000</v>
      </c>
      <c r="J6" s="190">
        <v>0</v>
      </c>
      <c r="K6" s="191">
        <v>0</v>
      </c>
      <c r="L6" s="191">
        <v>0</v>
      </c>
      <c r="M6" s="191">
        <v>0</v>
      </c>
      <c r="N6" s="191">
        <v>0</v>
      </c>
      <c r="O6" s="191">
        <v>0</v>
      </c>
      <c r="P6" s="191">
        <v>0</v>
      </c>
      <c r="Q6" s="191">
        <v>0</v>
      </c>
      <c r="R6" s="83"/>
    </row>
    <row r="7" spans="1:23" s="47" customFormat="1" ht="15">
      <c r="A7" s="41"/>
      <c r="B7" s="207"/>
      <c r="C7" s="208"/>
      <c r="D7" s="209"/>
      <c r="E7" s="209"/>
      <c r="F7" s="209"/>
      <c r="G7" s="209"/>
      <c r="H7" s="209"/>
      <c r="I7" s="209"/>
      <c r="J7" s="196"/>
      <c r="K7" s="196"/>
      <c r="L7" s="196"/>
      <c r="M7" s="196"/>
      <c r="N7" s="196"/>
      <c r="O7" s="196"/>
      <c r="P7" s="196"/>
      <c r="Q7" s="196"/>
      <c r="R7" s="83"/>
      <c r="W7" s="47" t="s">
        <v>206</v>
      </c>
    </row>
    <row r="8" spans="1:23" s="47" customFormat="1" ht="15">
      <c r="A8" s="41"/>
      <c r="B8" s="207"/>
      <c r="C8" s="183" t="s">
        <v>202</v>
      </c>
      <c r="D8" s="209">
        <v>1500000</v>
      </c>
      <c r="E8" s="209">
        <v>1500000</v>
      </c>
      <c r="F8" s="209">
        <v>3000000</v>
      </c>
      <c r="G8" s="209">
        <f>+F8*(1+$E$3)</f>
        <v>3090000</v>
      </c>
      <c r="H8" s="209">
        <f aca="true" t="shared" si="0" ref="H8:K8">+G8*(1+$E$3)</f>
        <v>3182700</v>
      </c>
      <c r="I8" s="209">
        <f t="shared" si="0"/>
        <v>3278181</v>
      </c>
      <c r="J8" s="196">
        <f t="shared" si="0"/>
        <v>3376526.43</v>
      </c>
      <c r="K8" s="196">
        <f t="shared" si="0"/>
        <v>3477822.2229000004</v>
      </c>
      <c r="L8" s="196">
        <f aca="true" t="shared" si="1" ref="L8:M8">+K8*(1+$E$3)</f>
        <v>3582156.8895870005</v>
      </c>
      <c r="M8" s="196">
        <f t="shared" si="1"/>
        <v>3689621.5962746106</v>
      </c>
      <c r="N8" s="196">
        <f aca="true" t="shared" si="2" ref="N8:O8">+M8*(1+$E$3)</f>
        <v>3800310.244162849</v>
      </c>
      <c r="O8" s="196">
        <f t="shared" si="2"/>
        <v>3914319.5514877345</v>
      </c>
      <c r="P8" s="196">
        <f aca="true" t="shared" si="3" ref="P8:Q8">+O8*(1+$E$3)</f>
        <v>4031749.1380323665</v>
      </c>
      <c r="Q8" s="196">
        <f t="shared" si="3"/>
        <v>4152701.6121733375</v>
      </c>
      <c r="R8" s="83"/>
      <c r="W8" s="210">
        <v>0.03</v>
      </c>
    </row>
    <row r="9" spans="2:28" ht="15">
      <c r="B9" s="183"/>
      <c r="C9" s="203" t="s">
        <v>203</v>
      </c>
      <c r="D9" s="197">
        <f>+D8-D6</f>
        <v>0</v>
      </c>
      <c r="E9" s="197">
        <f aca="true" t="shared" si="4" ref="E9:K9">+E8-E6</f>
        <v>0</v>
      </c>
      <c r="F9" s="197">
        <f t="shared" si="4"/>
        <v>1500000</v>
      </c>
      <c r="G9" s="197">
        <f t="shared" si="4"/>
        <v>1590000</v>
      </c>
      <c r="H9" s="197">
        <f t="shared" si="4"/>
        <v>1682700</v>
      </c>
      <c r="I9" s="197">
        <f t="shared" si="4"/>
        <v>1778181</v>
      </c>
      <c r="J9" s="197">
        <f t="shared" si="4"/>
        <v>3376526.43</v>
      </c>
      <c r="K9" s="197">
        <f t="shared" si="4"/>
        <v>3477822.2229000004</v>
      </c>
      <c r="L9" s="197">
        <f aca="true" t="shared" si="5" ref="L9">+L8-L6</f>
        <v>3582156.8895870005</v>
      </c>
      <c r="M9" s="197">
        <f aca="true" t="shared" si="6" ref="M9">+M8-M6</f>
        <v>3689621.5962746106</v>
      </c>
      <c r="N9" s="197">
        <f aca="true" t="shared" si="7" ref="N9">+N8-N6</f>
        <v>3800310.244162849</v>
      </c>
      <c r="O9" s="197">
        <f aca="true" t="shared" si="8" ref="O9">+O8-O6</f>
        <v>3914319.5514877345</v>
      </c>
      <c r="P9" s="197">
        <f aca="true" t="shared" si="9" ref="P9">+P8-P6</f>
        <v>4031749.1380323665</v>
      </c>
      <c r="Q9" s="197">
        <f aca="true" t="shared" si="10" ref="Q9">+Q8-Q6</f>
        <v>4152701.6121733375</v>
      </c>
      <c r="U9" s="47">
        <v>2021</v>
      </c>
      <c r="V9" s="212">
        <f>PMT(3%,10,750000+700000,0)</f>
        <v>-169984.2345774814</v>
      </c>
      <c r="W9" s="210"/>
      <c r="AB9" s="211">
        <f>SUM(V9:AA9)</f>
        <v>-169984.2345774814</v>
      </c>
    </row>
    <row r="10" spans="1:28" ht="15">
      <c r="A10" s="1"/>
      <c r="B10" s="201">
        <v>1129585</v>
      </c>
      <c r="C10" s="193" t="s">
        <v>66</v>
      </c>
      <c r="D10" s="194"/>
      <c r="E10" s="194"/>
      <c r="F10" s="194"/>
      <c r="G10" s="194"/>
      <c r="H10" s="194"/>
      <c r="I10" s="194"/>
      <c r="J10" s="190"/>
      <c r="K10" s="190"/>
      <c r="L10" s="190"/>
      <c r="M10" s="190"/>
      <c r="N10" s="190"/>
      <c r="O10" s="190"/>
      <c r="P10" s="190"/>
      <c r="Q10" s="190"/>
      <c r="U10" s="47">
        <v>2022</v>
      </c>
      <c r="V10" s="212">
        <f aca="true" t="shared" si="11" ref="V10:V18">PMT(3%,10,750000+700000,0)</f>
        <v>-169984.2345774814</v>
      </c>
      <c r="W10" s="212">
        <f>PMT(3%,10,1303000+900000,0)</f>
        <v>-258258.80605116655</v>
      </c>
      <c r="AB10" s="211">
        <f aca="true" t="shared" si="12" ref="AB10:AB23">SUM(V10:AA10)</f>
        <v>-428243.04062864796</v>
      </c>
    </row>
    <row r="11" spans="1:28" ht="15">
      <c r="A11" s="1"/>
      <c r="B11" s="202"/>
      <c r="C11" s="199" t="s">
        <v>67</v>
      </c>
      <c r="D11" s="194">
        <v>2400000</v>
      </c>
      <c r="E11" s="194">
        <v>4420000</v>
      </c>
      <c r="F11" s="194">
        <f>3000000-390000+390000</f>
        <v>3000000</v>
      </c>
      <c r="G11" s="194"/>
      <c r="H11" s="194"/>
      <c r="I11" s="194"/>
      <c r="J11" s="190"/>
      <c r="K11" s="190"/>
      <c r="L11" s="190"/>
      <c r="M11" s="190"/>
      <c r="N11" s="190"/>
      <c r="O11" s="190"/>
      <c r="P11" s="190"/>
      <c r="Q11" s="190"/>
      <c r="U11">
        <v>2023</v>
      </c>
      <c r="V11" s="212">
        <f t="shared" si="11"/>
        <v>-169984.2345774814</v>
      </c>
      <c r="W11" s="212">
        <f aca="true" t="shared" si="13" ref="W11:W19">PMT(3%,10,1303000+900000,0)</f>
        <v>-258258.80605116655</v>
      </c>
      <c r="X11" s="212">
        <f>PMT(3%,10,2000000+2000000+650000,0)</f>
        <v>-545121.855713992</v>
      </c>
      <c r="AB11" s="211">
        <f t="shared" si="12"/>
        <v>-973364.89634264</v>
      </c>
    </row>
    <row r="12" spans="1:28" s="47" customFormat="1" ht="15">
      <c r="A12" s="41"/>
      <c r="B12" s="159"/>
      <c r="C12" s="200" t="s">
        <v>68</v>
      </c>
      <c r="D12" s="194">
        <v>1000000</v>
      </c>
      <c r="E12" s="194">
        <v>1000000</v>
      </c>
      <c r="F12" s="194">
        <v>1000000</v>
      </c>
      <c r="G12" s="194">
        <v>1000000</v>
      </c>
      <c r="H12" s="194">
        <v>1000000</v>
      </c>
      <c r="I12" s="194"/>
      <c r="J12" s="195"/>
      <c r="K12" s="195"/>
      <c r="L12" s="195"/>
      <c r="M12" s="195"/>
      <c r="N12" s="195"/>
      <c r="O12" s="195"/>
      <c r="P12" s="195"/>
      <c r="Q12" s="195"/>
      <c r="U12" s="47">
        <v>2024</v>
      </c>
      <c r="V12" s="212">
        <f t="shared" si="11"/>
        <v>-169984.2345774814</v>
      </c>
      <c r="W12" s="212">
        <f t="shared" si="13"/>
        <v>-258258.80605116655</v>
      </c>
      <c r="X12" s="212">
        <f aca="true" t="shared" si="14" ref="X12:X20">PMT(3%,10,2000000+2000000+650000,0)</f>
        <v>-545121.855713992</v>
      </c>
      <c r="Y12" s="212">
        <f>PMT(3%,10,7100000+800000,0)</f>
        <v>-926121.0021807607</v>
      </c>
      <c r="AB12" s="211">
        <f t="shared" si="12"/>
        <v>-1899485.8985234008</v>
      </c>
    </row>
    <row r="13" spans="2:28" ht="15">
      <c r="B13" s="130"/>
      <c r="C13" s="183" t="s">
        <v>204</v>
      </c>
      <c r="D13" s="196">
        <f>SUM(D11:D12)</f>
        <v>3400000</v>
      </c>
      <c r="E13" s="196">
        <f aca="true" t="shared" si="15" ref="E13:I13">SUM(E11:E12)</f>
        <v>5420000</v>
      </c>
      <c r="F13" s="196">
        <f t="shared" si="15"/>
        <v>4000000</v>
      </c>
      <c r="G13" s="196">
        <f t="shared" si="15"/>
        <v>1000000</v>
      </c>
      <c r="H13" s="196">
        <f t="shared" si="15"/>
        <v>1000000</v>
      </c>
      <c r="I13" s="196">
        <f t="shared" si="15"/>
        <v>0</v>
      </c>
      <c r="J13" s="190"/>
      <c r="K13" s="190"/>
      <c r="L13" s="190"/>
      <c r="M13" s="190"/>
      <c r="N13" s="190"/>
      <c r="O13" s="190"/>
      <c r="P13" s="190"/>
      <c r="Q13" s="190"/>
      <c r="U13">
        <v>2025</v>
      </c>
      <c r="V13" s="212">
        <f t="shared" si="11"/>
        <v>-169984.2345774814</v>
      </c>
      <c r="W13" s="212">
        <f t="shared" si="13"/>
        <v>-258258.80605116655</v>
      </c>
      <c r="X13" s="212">
        <f t="shared" si="14"/>
        <v>-545121.855713992</v>
      </c>
      <c r="Y13" s="212">
        <f aca="true" t="shared" si="16" ref="Y13:Y21">PMT(3%,10,7100000+800000,0)</f>
        <v>-926121.0021807607</v>
      </c>
      <c r="Z13" s="212">
        <f>PMT(3%,10,7400000,0)</f>
        <v>-867505.748878181</v>
      </c>
      <c r="AB13" s="211">
        <f t="shared" si="12"/>
        <v>-2766991.6474015815</v>
      </c>
    </row>
    <row r="14" spans="2:28" ht="15">
      <c r="B14" s="130"/>
      <c r="C14" s="183" t="s">
        <v>202</v>
      </c>
      <c r="D14" s="196">
        <f>+D13</f>
        <v>3400000</v>
      </c>
      <c r="E14" s="196">
        <f>+E13</f>
        <v>5420000</v>
      </c>
      <c r="F14" s="196">
        <f>4000000*(1+E3)</f>
        <v>4120000</v>
      </c>
      <c r="G14" s="196">
        <f>2250000*(1+$E$3)</f>
        <v>2317500</v>
      </c>
      <c r="H14" s="196">
        <f aca="true" t="shared" si="17" ref="H14:M14">+G14*(1+$E$3)</f>
        <v>2387025</v>
      </c>
      <c r="I14" s="196">
        <f>+H14*(1+$E$3)</f>
        <v>2458635.75</v>
      </c>
      <c r="J14" s="196">
        <f t="shared" si="17"/>
        <v>2532394.8225000002</v>
      </c>
      <c r="K14" s="196">
        <f t="shared" si="17"/>
        <v>2608366.6671750005</v>
      </c>
      <c r="L14" s="196">
        <f t="shared" si="17"/>
        <v>2686617.6671902505</v>
      </c>
      <c r="M14" s="196">
        <f t="shared" si="17"/>
        <v>2767216.197205958</v>
      </c>
      <c r="N14" s="196">
        <f aca="true" t="shared" si="18" ref="N14:O14">+M14*(1+$E$3)</f>
        <v>2850232.6831221366</v>
      </c>
      <c r="O14" s="196">
        <f t="shared" si="18"/>
        <v>2935739.663615801</v>
      </c>
      <c r="P14" s="196">
        <f aca="true" t="shared" si="19" ref="P14:Q14">+O14*(1+$E$3)</f>
        <v>3023811.853524275</v>
      </c>
      <c r="Q14" s="196">
        <f t="shared" si="19"/>
        <v>3114526.2091300036</v>
      </c>
      <c r="U14" s="47">
        <v>2026</v>
      </c>
      <c r="V14" s="212">
        <f t="shared" si="11"/>
        <v>-169984.2345774814</v>
      </c>
      <c r="W14" s="212">
        <f t="shared" si="13"/>
        <v>-258258.80605116655</v>
      </c>
      <c r="X14" s="212">
        <f t="shared" si="14"/>
        <v>-545121.855713992</v>
      </c>
      <c r="Y14" s="212">
        <f t="shared" si="16"/>
        <v>-926121.0021807607</v>
      </c>
      <c r="Z14" s="212">
        <f aca="true" t="shared" si="20" ref="Z14:Z22">PMT(3%,10,7400000,0)</f>
        <v>-867505.748878181</v>
      </c>
      <c r="AA14" s="212">
        <f>PMT(3%,10,2400000,0)</f>
        <v>-281353.215852383</v>
      </c>
      <c r="AB14" s="211">
        <f t="shared" si="12"/>
        <v>-3048344.8632539646</v>
      </c>
    </row>
    <row r="15" spans="2:28" ht="15">
      <c r="B15" s="130"/>
      <c r="C15" s="203" t="s">
        <v>203</v>
      </c>
      <c r="D15" s="197">
        <f>+D14-D13</f>
        <v>0</v>
      </c>
      <c r="E15" s="197">
        <f aca="true" t="shared" si="21" ref="E15:K15">+E14-E13</f>
        <v>0</v>
      </c>
      <c r="F15" s="197">
        <f t="shared" si="21"/>
        <v>120000</v>
      </c>
      <c r="G15" s="197">
        <f t="shared" si="21"/>
        <v>1317500</v>
      </c>
      <c r="H15" s="197">
        <f t="shared" si="21"/>
        <v>1387025</v>
      </c>
      <c r="I15" s="197">
        <f t="shared" si="21"/>
        <v>2458635.75</v>
      </c>
      <c r="J15" s="197">
        <f t="shared" si="21"/>
        <v>2532394.8225000002</v>
      </c>
      <c r="K15" s="197">
        <f t="shared" si="21"/>
        <v>2608366.6671750005</v>
      </c>
      <c r="L15" s="197">
        <f aca="true" t="shared" si="22" ref="L15">+L14-L13</f>
        <v>2686617.6671902505</v>
      </c>
      <c r="M15" s="197">
        <f aca="true" t="shared" si="23" ref="M15">+M14-M13</f>
        <v>2767216.197205958</v>
      </c>
      <c r="N15" s="197">
        <f aca="true" t="shared" si="24" ref="N15">+N14-N13</f>
        <v>2850232.6831221366</v>
      </c>
      <c r="O15" s="197">
        <f aca="true" t="shared" si="25" ref="O15">+O14-O13</f>
        <v>2935739.663615801</v>
      </c>
      <c r="P15" s="197">
        <f aca="true" t="shared" si="26" ref="P15">+P14-P13</f>
        <v>3023811.853524275</v>
      </c>
      <c r="Q15" s="197">
        <f aca="true" t="shared" si="27" ref="Q15">+Q14-Q13</f>
        <v>3114526.2091300036</v>
      </c>
      <c r="U15">
        <v>2027</v>
      </c>
      <c r="V15" s="212">
        <f t="shared" si="11"/>
        <v>-169984.2345774814</v>
      </c>
      <c r="W15" s="212">
        <f t="shared" si="13"/>
        <v>-258258.80605116655</v>
      </c>
      <c r="X15" s="212">
        <f t="shared" si="14"/>
        <v>-545121.855713992</v>
      </c>
      <c r="Y15" s="212">
        <f t="shared" si="16"/>
        <v>-926121.0021807607</v>
      </c>
      <c r="Z15" s="212">
        <f t="shared" si="20"/>
        <v>-867505.748878181</v>
      </c>
      <c r="AA15" s="212">
        <f aca="true" t="shared" si="28" ref="AA15:AA23">PMT(3%,10,2400000,0)</f>
        <v>-281353.215852383</v>
      </c>
      <c r="AB15" s="211">
        <f t="shared" si="12"/>
        <v>-3048344.8632539646</v>
      </c>
    </row>
    <row r="16" spans="2:28" ht="15">
      <c r="B16" s="130"/>
      <c r="C16" s="183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U16" s="47">
        <v>2028</v>
      </c>
      <c r="V16" s="212">
        <f t="shared" si="11"/>
        <v>-169984.2345774814</v>
      </c>
      <c r="W16" s="212">
        <f t="shared" si="13"/>
        <v>-258258.80605116655</v>
      </c>
      <c r="X16" s="212">
        <f t="shared" si="14"/>
        <v>-545121.855713992</v>
      </c>
      <c r="Y16" s="212">
        <f t="shared" si="16"/>
        <v>-926121.0021807607</v>
      </c>
      <c r="Z16" s="212">
        <f t="shared" si="20"/>
        <v>-867505.748878181</v>
      </c>
      <c r="AA16" s="212">
        <f t="shared" si="28"/>
        <v>-281353.215852383</v>
      </c>
      <c r="AB16" s="211">
        <f t="shared" si="12"/>
        <v>-3048344.8632539646</v>
      </c>
    </row>
    <row r="17" spans="1:28" ht="15">
      <c r="A17" s="1"/>
      <c r="B17" s="206">
        <v>1129586</v>
      </c>
      <c r="C17" s="204" t="s">
        <v>72</v>
      </c>
      <c r="D17" s="194"/>
      <c r="E17" s="194"/>
      <c r="F17" s="194"/>
      <c r="G17" s="194"/>
      <c r="H17" s="194"/>
      <c r="I17" s="194"/>
      <c r="J17" s="190"/>
      <c r="K17" s="190"/>
      <c r="L17" s="190"/>
      <c r="M17" s="190"/>
      <c r="N17" s="190"/>
      <c r="O17" s="190"/>
      <c r="P17" s="190"/>
      <c r="Q17" s="190"/>
      <c r="U17">
        <v>2029</v>
      </c>
      <c r="V17" s="212">
        <f t="shared" si="11"/>
        <v>-169984.2345774814</v>
      </c>
      <c r="W17" s="212">
        <f t="shared" si="13"/>
        <v>-258258.80605116655</v>
      </c>
      <c r="X17" s="212">
        <f t="shared" si="14"/>
        <v>-545121.855713992</v>
      </c>
      <c r="Y17" s="212">
        <f t="shared" si="16"/>
        <v>-926121.0021807607</v>
      </c>
      <c r="Z17" s="212">
        <f t="shared" si="20"/>
        <v>-867505.748878181</v>
      </c>
      <c r="AA17" s="212">
        <f t="shared" si="28"/>
        <v>-281353.215852383</v>
      </c>
      <c r="AB17" s="211">
        <f t="shared" si="12"/>
        <v>-3048344.8632539646</v>
      </c>
    </row>
    <row r="18" spans="1:28" ht="27">
      <c r="A18" s="41"/>
      <c r="B18" s="159"/>
      <c r="C18" s="200" t="s">
        <v>73</v>
      </c>
      <c r="D18" s="194">
        <v>3150000</v>
      </c>
      <c r="E18" s="194">
        <v>2650000</v>
      </c>
      <c r="F18" s="194">
        <v>2300000</v>
      </c>
      <c r="G18" s="194">
        <v>2300000</v>
      </c>
      <c r="H18" s="194">
        <v>2000000</v>
      </c>
      <c r="I18" s="194">
        <v>1800000</v>
      </c>
      <c r="J18" s="190"/>
      <c r="K18" s="190"/>
      <c r="L18" s="190"/>
      <c r="M18" s="190"/>
      <c r="N18" s="190"/>
      <c r="O18" s="190"/>
      <c r="P18" s="190"/>
      <c r="Q18" s="190"/>
      <c r="U18" s="47">
        <v>2030</v>
      </c>
      <c r="V18" s="212">
        <f t="shared" si="11"/>
        <v>-169984.2345774814</v>
      </c>
      <c r="W18" s="212">
        <f t="shared" si="13"/>
        <v>-258258.80605116655</v>
      </c>
      <c r="X18" s="212">
        <f t="shared" si="14"/>
        <v>-545121.855713992</v>
      </c>
      <c r="Y18" s="212">
        <f t="shared" si="16"/>
        <v>-926121.0021807607</v>
      </c>
      <c r="Z18" s="212">
        <f t="shared" si="20"/>
        <v>-867505.748878181</v>
      </c>
      <c r="AA18" s="212">
        <f t="shared" si="28"/>
        <v>-281353.215852383</v>
      </c>
      <c r="AB18" s="211">
        <f t="shared" si="12"/>
        <v>-3048344.8632539646</v>
      </c>
    </row>
    <row r="19" spans="1:28" s="47" customFormat="1" ht="15">
      <c r="A19" s="41"/>
      <c r="B19" s="159"/>
      <c r="C19" s="200" t="s">
        <v>74</v>
      </c>
      <c r="D19" s="194">
        <v>500000</v>
      </c>
      <c r="E19" s="194">
        <v>500000</v>
      </c>
      <c r="F19" s="194">
        <v>500000</v>
      </c>
      <c r="G19" s="194">
        <v>500000</v>
      </c>
      <c r="H19" s="194">
        <v>0</v>
      </c>
      <c r="I19" s="194">
        <v>0</v>
      </c>
      <c r="J19" s="195"/>
      <c r="K19" s="195"/>
      <c r="L19" s="195"/>
      <c r="M19" s="195"/>
      <c r="N19" s="195"/>
      <c r="O19" s="195"/>
      <c r="P19" s="195"/>
      <c r="Q19" s="195"/>
      <c r="U19">
        <v>2031</v>
      </c>
      <c r="V19"/>
      <c r="W19" s="212">
        <f t="shared" si="13"/>
        <v>-258258.80605116655</v>
      </c>
      <c r="X19" s="212">
        <f t="shared" si="14"/>
        <v>-545121.855713992</v>
      </c>
      <c r="Y19" s="212">
        <f t="shared" si="16"/>
        <v>-926121.0021807607</v>
      </c>
      <c r="Z19" s="212">
        <f t="shared" si="20"/>
        <v>-867505.748878181</v>
      </c>
      <c r="AA19" s="212">
        <f t="shared" si="28"/>
        <v>-281353.215852383</v>
      </c>
      <c r="AB19" s="211">
        <f t="shared" si="12"/>
        <v>-2878360.6286764834</v>
      </c>
    </row>
    <row r="20" spans="2:28" ht="15">
      <c r="B20" s="130"/>
      <c r="C20" s="183" t="s">
        <v>204</v>
      </c>
      <c r="D20" s="196">
        <f>SUM(D18:D19)</f>
        <v>3650000</v>
      </c>
      <c r="E20" s="196">
        <f aca="true" t="shared" si="29" ref="E20:I20">SUM(E18:E19)</f>
        <v>3150000</v>
      </c>
      <c r="F20" s="196">
        <f t="shared" si="29"/>
        <v>2800000</v>
      </c>
      <c r="G20" s="196">
        <f t="shared" si="29"/>
        <v>2800000</v>
      </c>
      <c r="H20" s="196">
        <f t="shared" si="29"/>
        <v>2000000</v>
      </c>
      <c r="I20" s="196">
        <f t="shared" si="29"/>
        <v>1800000</v>
      </c>
      <c r="J20" s="190"/>
      <c r="K20" s="190"/>
      <c r="L20" s="190"/>
      <c r="M20" s="190"/>
      <c r="N20" s="190"/>
      <c r="O20" s="190"/>
      <c r="P20" s="190"/>
      <c r="Q20" s="190"/>
      <c r="U20" s="47">
        <v>2032</v>
      </c>
      <c r="V20" s="47"/>
      <c r="W20" s="47"/>
      <c r="X20" s="212">
        <f t="shared" si="14"/>
        <v>-545121.855713992</v>
      </c>
      <c r="Y20" s="212">
        <f t="shared" si="16"/>
        <v>-926121.0021807607</v>
      </c>
      <c r="Z20" s="212">
        <f t="shared" si="20"/>
        <v>-867505.748878181</v>
      </c>
      <c r="AA20" s="212">
        <f t="shared" si="28"/>
        <v>-281353.215852383</v>
      </c>
      <c r="AB20" s="211">
        <f t="shared" si="12"/>
        <v>-2620101.8226253167</v>
      </c>
    </row>
    <row r="21" spans="2:28" ht="15">
      <c r="B21" s="130"/>
      <c r="C21" s="183" t="s">
        <v>202</v>
      </c>
      <c r="D21" s="196">
        <f>+D20</f>
        <v>3650000</v>
      </c>
      <c r="E21" s="196">
        <f>+E20</f>
        <v>3150000</v>
      </c>
      <c r="F21" s="196">
        <f>3500000*1.03</f>
        <v>3605000</v>
      </c>
      <c r="G21" s="196">
        <f>+F21*1.03</f>
        <v>3713150</v>
      </c>
      <c r="H21" s="196">
        <f>(G21*1.03)+500000</f>
        <v>4324544.5</v>
      </c>
      <c r="I21" s="196">
        <f>(H21*1.03)+500000</f>
        <v>4954280.835</v>
      </c>
      <c r="J21" s="196">
        <f aca="true" t="shared" si="30" ref="J21:K21">+I21*1.03</f>
        <v>5102909.26005</v>
      </c>
      <c r="K21" s="196">
        <f t="shared" si="30"/>
        <v>5255996.537851499</v>
      </c>
      <c r="L21" s="196">
        <f aca="true" t="shared" si="31" ref="L21:M21">+K21*1.03</f>
        <v>5413676.433987045</v>
      </c>
      <c r="M21" s="196">
        <f t="shared" si="31"/>
        <v>5576086.727006656</v>
      </c>
      <c r="N21" s="196">
        <f aca="true" t="shared" si="32" ref="N21:O21">+M21*1.03</f>
        <v>5743369.328816856</v>
      </c>
      <c r="O21" s="196">
        <f t="shared" si="32"/>
        <v>5915670.408681362</v>
      </c>
      <c r="P21" s="196">
        <f aca="true" t="shared" si="33" ref="P21:Q21">+O21*1.03</f>
        <v>6093140.520941803</v>
      </c>
      <c r="Q21" s="196">
        <f t="shared" si="33"/>
        <v>6275934.736570057</v>
      </c>
      <c r="U21">
        <v>2033</v>
      </c>
      <c r="Y21" s="212">
        <f t="shared" si="16"/>
        <v>-926121.0021807607</v>
      </c>
      <c r="Z21" s="212">
        <f t="shared" si="20"/>
        <v>-867505.748878181</v>
      </c>
      <c r="AA21" s="212">
        <f t="shared" si="28"/>
        <v>-281353.215852383</v>
      </c>
      <c r="AB21" s="211">
        <f t="shared" si="12"/>
        <v>-2074979.9669113248</v>
      </c>
    </row>
    <row r="22" spans="2:28" ht="15">
      <c r="B22" s="130"/>
      <c r="C22" s="203" t="s">
        <v>203</v>
      </c>
      <c r="D22" s="197">
        <f>+D21-D20</f>
        <v>0</v>
      </c>
      <c r="E22" s="197">
        <f aca="true" t="shared" si="34" ref="E22:K22">+E21-E20</f>
        <v>0</v>
      </c>
      <c r="F22" s="197">
        <f t="shared" si="34"/>
        <v>805000</v>
      </c>
      <c r="G22" s="197">
        <f t="shared" si="34"/>
        <v>913150</v>
      </c>
      <c r="H22" s="197">
        <f t="shared" si="34"/>
        <v>2324544.5</v>
      </c>
      <c r="I22" s="197">
        <f t="shared" si="34"/>
        <v>3154280.835</v>
      </c>
      <c r="J22" s="197">
        <f t="shared" si="34"/>
        <v>5102909.26005</v>
      </c>
      <c r="K22" s="197">
        <f t="shared" si="34"/>
        <v>5255996.537851499</v>
      </c>
      <c r="L22" s="197">
        <f aca="true" t="shared" si="35" ref="L22">+L21-L20</f>
        <v>5413676.433987045</v>
      </c>
      <c r="M22" s="197">
        <f aca="true" t="shared" si="36" ref="M22">+M21-M20</f>
        <v>5576086.727006656</v>
      </c>
      <c r="N22" s="197">
        <f aca="true" t="shared" si="37" ref="N22">+N21-N20</f>
        <v>5743369.328816856</v>
      </c>
      <c r="O22" s="197">
        <f aca="true" t="shared" si="38" ref="O22">+O21-O20</f>
        <v>5915670.408681362</v>
      </c>
      <c r="P22" s="197">
        <f aca="true" t="shared" si="39" ref="P22">+P21-P20</f>
        <v>6093140.520941803</v>
      </c>
      <c r="Q22" s="197">
        <f aca="true" t="shared" si="40" ref="Q22">+Q21-Q20</f>
        <v>6275934.736570057</v>
      </c>
      <c r="U22" s="47">
        <v>2034</v>
      </c>
      <c r="V22" s="47"/>
      <c r="Z22" s="212">
        <f t="shared" si="20"/>
        <v>-867505.748878181</v>
      </c>
      <c r="AA22" s="212">
        <f t="shared" si="28"/>
        <v>-281353.215852383</v>
      </c>
      <c r="AB22" s="211">
        <f t="shared" si="12"/>
        <v>-1148858.964730564</v>
      </c>
    </row>
    <row r="23" spans="2:28" ht="15">
      <c r="B23" s="130"/>
      <c r="C23" s="183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U23">
        <v>2035</v>
      </c>
      <c r="AA23" s="212">
        <f t="shared" si="28"/>
        <v>-281353.215852383</v>
      </c>
      <c r="AB23" s="211">
        <f t="shared" si="12"/>
        <v>-281353.215852383</v>
      </c>
    </row>
    <row r="24" spans="1:22" ht="17.25" customHeight="1">
      <c r="A24" s="1"/>
      <c r="B24" s="206">
        <v>1129588</v>
      </c>
      <c r="C24" s="204" t="s">
        <v>76</v>
      </c>
      <c r="D24" s="194"/>
      <c r="E24" s="194"/>
      <c r="F24" s="194"/>
      <c r="G24" s="194"/>
      <c r="H24" s="194"/>
      <c r="I24" s="194"/>
      <c r="J24" s="190"/>
      <c r="K24" s="190"/>
      <c r="L24" s="190"/>
      <c r="M24" s="190"/>
      <c r="N24" s="190"/>
      <c r="O24" s="190"/>
      <c r="P24" s="190"/>
      <c r="Q24" s="190"/>
      <c r="U24" s="47">
        <v>2036</v>
      </c>
      <c r="V24" s="47"/>
    </row>
    <row r="25" spans="1:27" ht="27">
      <c r="A25" s="1"/>
      <c r="B25" s="159"/>
      <c r="C25" s="200" t="s">
        <v>77</v>
      </c>
      <c r="D25" s="194">
        <v>500000</v>
      </c>
      <c r="E25" s="194">
        <v>500000</v>
      </c>
      <c r="F25" s="194">
        <v>500000</v>
      </c>
      <c r="G25" s="194">
        <v>0</v>
      </c>
      <c r="H25" s="194">
        <v>0</v>
      </c>
      <c r="I25" s="194">
        <v>0</v>
      </c>
      <c r="J25" s="190"/>
      <c r="K25" s="190"/>
      <c r="L25" s="190"/>
      <c r="M25" s="190"/>
      <c r="N25" s="190"/>
      <c r="O25" s="190"/>
      <c r="P25" s="190"/>
      <c r="Q25" s="190"/>
      <c r="V25" s="211">
        <f aca="true" t="shared" si="41" ref="V25:AA25">SUM(V9:V24)</f>
        <v>-1699842.345774814</v>
      </c>
      <c r="W25" s="211">
        <f t="shared" si="41"/>
        <v>-2582588.0605116654</v>
      </c>
      <c r="X25" s="211">
        <f t="shared" si="41"/>
        <v>-5451218.557139921</v>
      </c>
      <c r="Y25" s="211">
        <f t="shared" si="41"/>
        <v>-9261210.021807607</v>
      </c>
      <c r="Z25" s="211">
        <f t="shared" si="41"/>
        <v>-8675057.48878181</v>
      </c>
      <c r="AA25" s="211">
        <f t="shared" si="41"/>
        <v>-2813532.15852383</v>
      </c>
    </row>
    <row r="26" spans="2:27" ht="15">
      <c r="B26" s="130"/>
      <c r="C26" s="183" t="s">
        <v>202</v>
      </c>
      <c r="D26" s="196">
        <v>500000</v>
      </c>
      <c r="E26" s="196">
        <v>500000</v>
      </c>
      <c r="F26" s="196">
        <f aca="true" t="shared" si="42" ref="F26:M26">+E26*(1+$E$3)</f>
        <v>515000</v>
      </c>
      <c r="G26" s="196">
        <f t="shared" si="42"/>
        <v>530450</v>
      </c>
      <c r="H26" s="196">
        <f t="shared" si="42"/>
        <v>546363.5</v>
      </c>
      <c r="I26" s="196">
        <f t="shared" si="42"/>
        <v>562754.405</v>
      </c>
      <c r="J26" s="196">
        <f t="shared" si="42"/>
        <v>579637.03715</v>
      </c>
      <c r="K26" s="196">
        <f t="shared" si="42"/>
        <v>597026.1482645</v>
      </c>
      <c r="L26" s="196">
        <f t="shared" si="42"/>
        <v>614936.932712435</v>
      </c>
      <c r="M26" s="196">
        <f t="shared" si="42"/>
        <v>633385.0406938081</v>
      </c>
      <c r="N26" s="196">
        <f aca="true" t="shared" si="43" ref="N26:O26">+M26*(1+$E$3)</f>
        <v>652386.5919146223</v>
      </c>
      <c r="O26" s="196">
        <f t="shared" si="43"/>
        <v>671958.189672061</v>
      </c>
      <c r="P26" s="196">
        <f aca="true" t="shared" si="44" ref="P26:Q26">+O26*(1+$E$3)</f>
        <v>692116.9353622228</v>
      </c>
      <c r="Q26" s="196">
        <f t="shared" si="44"/>
        <v>712880.4434230896</v>
      </c>
      <c r="V26" s="213">
        <f>750000+700000</f>
        <v>1450000</v>
      </c>
      <c r="W26">
        <f>1303000+900000</f>
        <v>2203000</v>
      </c>
      <c r="X26">
        <f>2000000+2000000+650000</f>
        <v>4650000</v>
      </c>
      <c r="Y26">
        <f>7100000+800000</f>
        <v>7900000</v>
      </c>
      <c r="Z26">
        <v>7400000</v>
      </c>
      <c r="AA26">
        <v>2400000</v>
      </c>
    </row>
    <row r="27" spans="2:17" ht="15">
      <c r="B27" s="130"/>
      <c r="C27" s="205" t="s">
        <v>203</v>
      </c>
      <c r="D27" s="198">
        <f aca="true" t="shared" si="45" ref="D27:M27">+D26-D25</f>
        <v>0</v>
      </c>
      <c r="E27" s="198">
        <f t="shared" si="45"/>
        <v>0</v>
      </c>
      <c r="F27" s="198">
        <f t="shared" si="45"/>
        <v>15000</v>
      </c>
      <c r="G27" s="198">
        <f t="shared" si="45"/>
        <v>530450</v>
      </c>
      <c r="H27" s="198">
        <f t="shared" si="45"/>
        <v>546363.5</v>
      </c>
      <c r="I27" s="198">
        <f t="shared" si="45"/>
        <v>562754.405</v>
      </c>
      <c r="J27" s="198">
        <f t="shared" si="45"/>
        <v>579637.03715</v>
      </c>
      <c r="K27" s="198">
        <f t="shared" si="45"/>
        <v>597026.1482645</v>
      </c>
      <c r="L27" s="198">
        <f t="shared" si="45"/>
        <v>614936.932712435</v>
      </c>
      <c r="M27" s="198">
        <f t="shared" si="45"/>
        <v>633385.0406938081</v>
      </c>
      <c r="N27" s="198">
        <f aca="true" t="shared" si="46" ref="N27:O27">+N26-N25</f>
        <v>652386.5919146223</v>
      </c>
      <c r="O27" s="198">
        <f t="shared" si="46"/>
        <v>671958.189672061</v>
      </c>
      <c r="P27" s="198">
        <f aca="true" t="shared" si="47" ref="P27">+P26-P25</f>
        <v>692116.9353622228</v>
      </c>
      <c r="Q27" s="198">
        <f aca="true" t="shared" si="48" ref="Q27">+Q26-Q25</f>
        <v>712880.4434230896</v>
      </c>
    </row>
    <row r="31" spans="2:9" ht="15">
      <c r="B31" s="42">
        <v>1129594</v>
      </c>
      <c r="C31" s="43" t="s">
        <v>19</v>
      </c>
      <c r="D31" s="44">
        <v>400000</v>
      </c>
      <c r="E31" s="44">
        <v>400000</v>
      </c>
      <c r="F31" s="44">
        <v>450000</v>
      </c>
      <c r="G31" s="44">
        <v>0</v>
      </c>
      <c r="H31" s="44">
        <v>450000</v>
      </c>
      <c r="I31" s="44">
        <v>0</v>
      </c>
    </row>
    <row r="32" spans="3:17" ht="15">
      <c r="C32" s="183" t="s">
        <v>202</v>
      </c>
      <c r="D32">
        <v>400000</v>
      </c>
      <c r="E32">
        <v>400000</v>
      </c>
      <c r="F32">
        <v>450000</v>
      </c>
      <c r="G32">
        <v>0</v>
      </c>
      <c r="H32">
        <v>450000</v>
      </c>
      <c r="I32">
        <f aca="true" t="shared" si="49" ref="I32:M32">+H32*(1+$E$3)</f>
        <v>463500</v>
      </c>
      <c r="J32">
        <f t="shared" si="49"/>
        <v>477405</v>
      </c>
      <c r="K32">
        <f t="shared" si="49"/>
        <v>491727.15</v>
      </c>
      <c r="L32">
        <f t="shared" si="49"/>
        <v>506478.96450000006</v>
      </c>
      <c r="M32">
        <f t="shared" si="49"/>
        <v>521673.3334350001</v>
      </c>
      <c r="N32">
        <f aca="true" t="shared" si="50" ref="N32:O32">+M32*(1+$E$3)</f>
        <v>537323.5334380501</v>
      </c>
      <c r="O32">
        <f t="shared" si="50"/>
        <v>553443.2394411915</v>
      </c>
      <c r="P32">
        <f aca="true" t="shared" si="51" ref="P32:Q32">+O32*(1+$E$3)</f>
        <v>570046.5366244273</v>
      </c>
      <c r="Q32">
        <f t="shared" si="51"/>
        <v>587147.9327231601</v>
      </c>
    </row>
    <row r="33" spans="3:17" ht="15">
      <c r="C33" s="205" t="s">
        <v>203</v>
      </c>
      <c r="D33" s="179">
        <f aca="true" t="shared" si="52" ref="D33:M33">+D32-D31</f>
        <v>0</v>
      </c>
      <c r="E33" s="179">
        <f t="shared" si="52"/>
        <v>0</v>
      </c>
      <c r="F33" s="179">
        <f t="shared" si="52"/>
        <v>0</v>
      </c>
      <c r="G33" s="179">
        <f t="shared" si="52"/>
        <v>0</v>
      </c>
      <c r="H33" s="179">
        <f t="shared" si="52"/>
        <v>0</v>
      </c>
      <c r="I33" s="179">
        <f t="shared" si="52"/>
        <v>463500</v>
      </c>
      <c r="J33" s="179">
        <f t="shared" si="52"/>
        <v>477405</v>
      </c>
      <c r="K33" s="179">
        <f t="shared" si="52"/>
        <v>491727.15</v>
      </c>
      <c r="L33" s="179">
        <f t="shared" si="52"/>
        <v>506478.96450000006</v>
      </c>
      <c r="M33" s="179">
        <f t="shared" si="52"/>
        <v>521673.3334350001</v>
      </c>
      <c r="N33" s="179">
        <f aca="true" t="shared" si="53" ref="N33:O33">+N32-N31</f>
        <v>537323.5334380501</v>
      </c>
      <c r="O33" s="179">
        <f t="shared" si="53"/>
        <v>553443.2394411915</v>
      </c>
      <c r="P33" s="179">
        <f aca="true" t="shared" si="54" ref="P33">+P32-P31</f>
        <v>570046.5366244273</v>
      </c>
      <c r="Q33" s="179">
        <f aca="true" t="shared" si="55" ref="Q33">+Q32-Q31</f>
        <v>587147.9327231601</v>
      </c>
    </row>
    <row r="35" spans="2:10" ht="15">
      <c r="B35" s="78">
        <v>1129590</v>
      </c>
      <c r="C35" s="82" t="s">
        <v>82</v>
      </c>
      <c r="D35" s="91"/>
      <c r="E35" s="84"/>
      <c r="F35" s="84"/>
      <c r="G35" s="84"/>
      <c r="H35" s="84">
        <v>2000000</v>
      </c>
      <c r="I35" s="84"/>
      <c r="J35" s="85"/>
    </row>
    <row r="36" spans="3:16" ht="15">
      <c r="C36" s="183" t="s">
        <v>202</v>
      </c>
      <c r="F36">
        <v>2000000</v>
      </c>
      <c r="H36">
        <f>+F36*(1+$E$3)^2</f>
        <v>2121800</v>
      </c>
      <c r="J36">
        <f>+H36*(1+$E$3)^2</f>
        <v>2251017.62</v>
      </c>
      <c r="L36">
        <f>+J36*(1+$E$3)^2</f>
        <v>2388104.593058</v>
      </c>
      <c r="N36">
        <f>+L36*(1+$E$3)^2</f>
        <v>2533540.162775232</v>
      </c>
      <c r="P36">
        <f>+N36*(1+$E$3)^2</f>
        <v>2687832.7586882436</v>
      </c>
    </row>
    <row r="37" spans="3:18" ht="15">
      <c r="C37" s="205" t="s">
        <v>203</v>
      </c>
      <c r="D37" s="186">
        <f aca="true" t="shared" si="56" ref="D37:M37">+D36-D35</f>
        <v>0</v>
      </c>
      <c r="E37" s="179">
        <f t="shared" si="56"/>
        <v>0</v>
      </c>
      <c r="F37" s="179">
        <f t="shared" si="56"/>
        <v>2000000</v>
      </c>
      <c r="G37" s="179">
        <f t="shared" si="56"/>
        <v>0</v>
      </c>
      <c r="H37" s="179">
        <f t="shared" si="56"/>
        <v>121800</v>
      </c>
      <c r="I37" s="179">
        <f t="shared" si="56"/>
        <v>0</v>
      </c>
      <c r="J37" s="179">
        <f t="shared" si="56"/>
        <v>2251017.62</v>
      </c>
      <c r="K37" s="179">
        <f t="shared" si="56"/>
        <v>0</v>
      </c>
      <c r="L37" s="179">
        <f t="shared" si="56"/>
        <v>2388104.593058</v>
      </c>
      <c r="M37" s="179">
        <f t="shared" si="56"/>
        <v>0</v>
      </c>
      <c r="N37" s="179">
        <f aca="true" t="shared" si="57" ref="N37:O37">+N36-N35</f>
        <v>2533540.162775232</v>
      </c>
      <c r="O37" s="179">
        <f t="shared" si="57"/>
        <v>0</v>
      </c>
      <c r="P37" s="179">
        <f aca="true" t="shared" si="58" ref="P37">+P36-P35</f>
        <v>2687832.7586882436</v>
      </c>
      <c r="Q37" s="179">
        <f aca="true" t="shared" si="59" ref="Q37">+Q36-Q35</f>
        <v>0</v>
      </c>
      <c r="R37" s="179">
        <f>+R36-R35</f>
        <v>0</v>
      </c>
    </row>
    <row r="40" spans="2:9" ht="15">
      <c r="B40" s="42">
        <v>1129594</v>
      </c>
      <c r="C40" s="43" t="s">
        <v>19</v>
      </c>
      <c r="D40" s="44">
        <v>400000</v>
      </c>
      <c r="E40" s="44">
        <v>400000</v>
      </c>
      <c r="F40" s="44">
        <v>450000</v>
      </c>
      <c r="G40" s="44">
        <v>0</v>
      </c>
      <c r="H40" s="44">
        <v>450000</v>
      </c>
      <c r="I40" s="44">
        <v>0</v>
      </c>
    </row>
    <row r="41" spans="3:17" ht="15">
      <c r="C41" s="183" t="s">
        <v>202</v>
      </c>
      <c r="D41">
        <v>400000</v>
      </c>
      <c r="E41">
        <v>400000</v>
      </c>
      <c r="F41">
        <v>450000</v>
      </c>
      <c r="G41">
        <v>500000</v>
      </c>
      <c r="H41">
        <f aca="true" t="shared" si="60" ref="H41:M41">+G41*1.03</f>
        <v>515000</v>
      </c>
      <c r="I41">
        <f t="shared" si="60"/>
        <v>530450</v>
      </c>
      <c r="J41">
        <f t="shared" si="60"/>
        <v>546363.5</v>
      </c>
      <c r="K41">
        <f t="shared" si="60"/>
        <v>562754.405</v>
      </c>
      <c r="L41">
        <f t="shared" si="60"/>
        <v>579637.03715</v>
      </c>
      <c r="M41">
        <f t="shared" si="60"/>
        <v>597026.1482645</v>
      </c>
      <c r="N41">
        <f aca="true" t="shared" si="61" ref="N41:O41">+M41*1.03</f>
        <v>614936.932712435</v>
      </c>
      <c r="O41">
        <f t="shared" si="61"/>
        <v>633385.0406938081</v>
      </c>
      <c r="P41">
        <f aca="true" t="shared" si="62" ref="P41:Q41">+O41*1.03</f>
        <v>652386.5919146223</v>
      </c>
      <c r="Q41">
        <f t="shared" si="62"/>
        <v>671958.189672061</v>
      </c>
    </row>
    <row r="42" spans="3:18" ht="15">
      <c r="C42" s="205" t="s">
        <v>203</v>
      </c>
      <c r="D42" s="186">
        <f aca="true" t="shared" si="63" ref="D42:M42">+D41-D40</f>
        <v>0</v>
      </c>
      <c r="E42" s="179">
        <f t="shared" si="63"/>
        <v>0</v>
      </c>
      <c r="F42" s="179">
        <f t="shared" si="63"/>
        <v>0</v>
      </c>
      <c r="G42" s="179">
        <f t="shared" si="63"/>
        <v>500000</v>
      </c>
      <c r="H42" s="179">
        <f t="shared" si="63"/>
        <v>65000</v>
      </c>
      <c r="I42" s="179">
        <f t="shared" si="63"/>
        <v>530450</v>
      </c>
      <c r="J42" s="179">
        <f t="shared" si="63"/>
        <v>546363.5</v>
      </c>
      <c r="K42" s="179">
        <f t="shared" si="63"/>
        <v>562754.405</v>
      </c>
      <c r="L42" s="179">
        <f t="shared" si="63"/>
        <v>579637.03715</v>
      </c>
      <c r="M42" s="179">
        <f t="shared" si="63"/>
        <v>597026.1482645</v>
      </c>
      <c r="N42" s="179">
        <f aca="true" t="shared" si="64" ref="N42:O42">+N41-N40</f>
        <v>614936.932712435</v>
      </c>
      <c r="O42" s="179">
        <f t="shared" si="64"/>
        <v>633385.0406938081</v>
      </c>
      <c r="P42" s="179">
        <f aca="true" t="shared" si="65" ref="P42">+P41-P40</f>
        <v>652386.5919146223</v>
      </c>
      <c r="Q42" s="179">
        <f aca="true" t="shared" si="66" ref="Q42">+Q41-Q40</f>
        <v>671958.189672061</v>
      </c>
      <c r="R42" s="179">
        <f>+R41-R40</f>
        <v>0</v>
      </c>
    </row>
  </sheetData>
  <mergeCells count="1">
    <mergeCell ref="U4:AB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O224"/>
  <sheetViews>
    <sheetView zoomScale="90" zoomScaleNormal="90" zoomScaleSheetLayoutView="100" workbookViewId="0" topLeftCell="A28">
      <selection activeCell="C17" sqref="C17"/>
    </sheetView>
  </sheetViews>
  <sheetFormatPr defaultColWidth="9.140625" defaultRowHeight="15"/>
  <cols>
    <col min="1" max="1" width="6.421875" style="1" bestFit="1" customWidth="1"/>
    <col min="2" max="2" width="12.7109375" style="3" customWidth="1"/>
    <col min="3" max="3" width="54.7109375" style="62" customWidth="1"/>
    <col min="4" max="10" width="15.7109375" style="64" customWidth="1"/>
    <col min="11" max="11" width="40.7109375" style="2" hidden="1" customWidth="1"/>
    <col min="12" max="12" width="40.7109375" style="3" hidden="1" customWidth="1"/>
    <col min="13" max="13" width="80.421875" style="0" customWidth="1"/>
    <col min="14" max="15" width="12.7109375" style="0" customWidth="1"/>
    <col min="16" max="22" width="15.7109375" style="0" customWidth="1"/>
  </cols>
  <sheetData>
    <row r="1" spans="2:10" ht="43.15" customHeight="1">
      <c r="B1" s="325" t="s">
        <v>0</v>
      </c>
      <c r="C1" s="325"/>
      <c r="D1" s="325"/>
      <c r="E1" s="325"/>
      <c r="F1" s="325"/>
      <c r="G1" s="325"/>
      <c r="H1" s="325"/>
      <c r="I1" s="325"/>
      <c r="J1" s="325"/>
    </row>
    <row r="2" spans="1:12" s="6" customFormat="1" ht="23.25">
      <c r="A2" s="1"/>
      <c r="B2" s="326" t="s">
        <v>1</v>
      </c>
      <c r="C2" s="326"/>
      <c r="D2" s="326"/>
      <c r="E2" s="326"/>
      <c r="F2" s="326"/>
      <c r="G2" s="326"/>
      <c r="H2" s="326"/>
      <c r="I2" s="326"/>
      <c r="J2" s="326"/>
      <c r="K2" s="4"/>
      <c r="L2" s="5"/>
    </row>
    <row r="3" spans="1:12" s="6" customFormat="1" ht="15">
      <c r="A3" s="1"/>
      <c r="B3" s="7" t="s">
        <v>2</v>
      </c>
      <c r="C3" s="8" t="s">
        <v>3</v>
      </c>
      <c r="D3" s="9">
        <v>2019</v>
      </c>
      <c r="E3" s="9">
        <v>2020</v>
      </c>
      <c r="F3" s="9">
        <v>2021</v>
      </c>
      <c r="G3" s="9">
        <v>2022</v>
      </c>
      <c r="H3" s="9">
        <v>2023</v>
      </c>
      <c r="I3" s="9">
        <v>2024</v>
      </c>
      <c r="J3" s="10" t="s">
        <v>4</v>
      </c>
      <c r="K3" s="11" t="s">
        <v>5</v>
      </c>
      <c r="L3" s="12" t="s">
        <v>6</v>
      </c>
    </row>
    <row r="4" spans="2:12" ht="15">
      <c r="B4" s="13">
        <v>33341</v>
      </c>
      <c r="C4" s="14" t="s">
        <v>7</v>
      </c>
      <c r="D4" s="15">
        <v>2500000</v>
      </c>
      <c r="E4" s="15">
        <v>2500000</v>
      </c>
      <c r="F4" s="15"/>
      <c r="G4" s="15"/>
      <c r="H4" s="15"/>
      <c r="I4" s="15"/>
      <c r="J4" s="15">
        <f aca="true" t="shared" si="0" ref="J4:J7">SUM(D4:I4)</f>
        <v>5000000</v>
      </c>
      <c r="K4" s="16"/>
      <c r="L4" s="17"/>
    </row>
    <row r="5" spans="2:12" ht="13.9" customHeight="1">
      <c r="B5" s="18">
        <v>33346</v>
      </c>
      <c r="C5" s="19" t="s">
        <v>8</v>
      </c>
      <c r="D5" s="20">
        <v>800000</v>
      </c>
      <c r="E5" s="20"/>
      <c r="F5" s="20">
        <f>+F21*0.865</f>
        <v>346000</v>
      </c>
      <c r="G5" s="20"/>
      <c r="H5" s="20">
        <f>+H21*0.865</f>
        <v>519000</v>
      </c>
      <c r="I5" s="20"/>
      <c r="J5" s="20">
        <f>SUM(D5:I5)</f>
        <v>1665000</v>
      </c>
      <c r="K5" s="21" t="s">
        <v>9</v>
      </c>
      <c r="L5" s="17"/>
    </row>
    <row r="6" spans="2:12" ht="15">
      <c r="B6" s="13">
        <v>39782</v>
      </c>
      <c r="C6" s="14" t="s">
        <v>10</v>
      </c>
      <c r="D6" s="22">
        <f aca="true" t="shared" si="1" ref="D6:I6">+D26-SUM(D4:D5)-D7</f>
        <v>1517066</v>
      </c>
      <c r="E6" s="22">
        <f t="shared" si="1"/>
        <v>422066</v>
      </c>
      <c r="F6" s="22">
        <f t="shared" si="1"/>
        <v>874000</v>
      </c>
      <c r="G6" s="22">
        <f t="shared" si="1"/>
        <v>1770000</v>
      </c>
      <c r="H6" s="22">
        <f t="shared" si="1"/>
        <v>581000</v>
      </c>
      <c r="I6" s="22">
        <f t="shared" si="1"/>
        <v>0</v>
      </c>
      <c r="J6" s="15">
        <f t="shared" si="0"/>
        <v>5164132</v>
      </c>
      <c r="K6" s="16"/>
      <c r="L6" s="17"/>
    </row>
    <row r="7" spans="2:12" ht="15.75" thickBot="1">
      <c r="B7" s="23"/>
      <c r="C7" s="24" t="s">
        <v>11</v>
      </c>
      <c r="D7" s="25">
        <v>500000</v>
      </c>
      <c r="E7" s="25">
        <f aca="true" t="shared" si="2" ref="E7">+E251</f>
        <v>0</v>
      </c>
      <c r="F7" s="25">
        <v>7700000</v>
      </c>
      <c r="G7" s="25">
        <v>1500000</v>
      </c>
      <c r="H7" s="25">
        <v>24800000</v>
      </c>
      <c r="I7" s="25">
        <v>16400000</v>
      </c>
      <c r="J7" s="26">
        <f t="shared" si="0"/>
        <v>50900000</v>
      </c>
      <c r="K7" s="27"/>
      <c r="L7" s="28"/>
    </row>
    <row r="8" spans="2:12" ht="15">
      <c r="B8" s="29"/>
      <c r="C8" s="30" t="s">
        <v>12</v>
      </c>
      <c r="D8" s="31">
        <f aca="true" t="shared" si="3" ref="D8:J8">SUM(D4:D7)</f>
        <v>5317066</v>
      </c>
      <c r="E8" s="31">
        <f t="shared" si="3"/>
        <v>2922066</v>
      </c>
      <c r="F8" s="31">
        <f t="shared" si="3"/>
        <v>8920000</v>
      </c>
      <c r="G8" s="31">
        <f t="shared" si="3"/>
        <v>3270000</v>
      </c>
      <c r="H8" s="31">
        <f t="shared" si="3"/>
        <v>25900000</v>
      </c>
      <c r="I8" s="31">
        <f t="shared" si="3"/>
        <v>16400000</v>
      </c>
      <c r="J8" s="31">
        <f t="shared" si="3"/>
        <v>62729132</v>
      </c>
      <c r="K8" s="32"/>
      <c r="L8" s="33"/>
    </row>
    <row r="9" spans="1:12" s="36" customFormat="1" ht="15">
      <c r="A9" s="1"/>
      <c r="B9" s="34"/>
      <c r="C9" s="34"/>
      <c r="D9" s="34"/>
      <c r="E9" s="34"/>
      <c r="F9" s="34"/>
      <c r="G9" s="34"/>
      <c r="H9" s="34"/>
      <c r="I9" s="34"/>
      <c r="J9" s="34"/>
      <c r="K9" s="4"/>
      <c r="L9" s="35"/>
    </row>
    <row r="10" spans="2:12" ht="15">
      <c r="B10" s="37" t="s">
        <v>13</v>
      </c>
      <c r="C10" s="38" t="s">
        <v>14</v>
      </c>
      <c r="D10" s="39">
        <v>2019</v>
      </c>
      <c r="E10" s="39">
        <v>2020</v>
      </c>
      <c r="F10" s="39">
        <v>2021</v>
      </c>
      <c r="G10" s="39">
        <v>2022</v>
      </c>
      <c r="H10" s="39">
        <v>2023</v>
      </c>
      <c r="I10" s="39">
        <v>2024</v>
      </c>
      <c r="J10" s="40" t="s">
        <v>4</v>
      </c>
      <c r="K10" s="11" t="s">
        <v>5</v>
      </c>
      <c r="L10" s="12" t="s">
        <v>6</v>
      </c>
    </row>
    <row r="11" spans="1:13" ht="15">
      <c r="A11" s="41"/>
      <c r="B11" s="42">
        <v>1129592</v>
      </c>
      <c r="C11" s="43" t="s">
        <v>15</v>
      </c>
      <c r="D11" s="44">
        <f>ROUNDDOWN((SUM(D13:D14)+SUM(D16:D22))*0.05,-4)</f>
        <v>80000</v>
      </c>
      <c r="E11" s="44">
        <f aca="true" t="shared" si="4" ref="E11:I11">ROUNDDOWN(SUM(E13:E22)*0.05,-4)</f>
        <v>20000</v>
      </c>
      <c r="F11" s="44">
        <f t="shared" si="4"/>
        <v>50000</v>
      </c>
      <c r="G11" s="44">
        <f t="shared" si="4"/>
        <v>80000</v>
      </c>
      <c r="H11" s="44">
        <f t="shared" si="4"/>
        <v>50000</v>
      </c>
      <c r="I11" s="44">
        <f t="shared" si="4"/>
        <v>0</v>
      </c>
      <c r="J11" s="44">
        <f>SUM(D11:I11)</f>
        <v>280000</v>
      </c>
      <c r="K11" s="45" t="s">
        <v>16</v>
      </c>
      <c r="L11" s="46" t="s">
        <v>17</v>
      </c>
      <c r="M11" s="47"/>
    </row>
    <row r="12" spans="1:12" ht="15">
      <c r="A12" s="41"/>
      <c r="B12" s="42">
        <v>1129593</v>
      </c>
      <c r="C12" s="43" t="s">
        <v>18</v>
      </c>
      <c r="D12" s="44">
        <v>2500000</v>
      </c>
      <c r="E12" s="44">
        <v>2500000</v>
      </c>
      <c r="F12" s="44"/>
      <c r="G12" s="44"/>
      <c r="H12" s="44"/>
      <c r="I12" s="44"/>
      <c r="J12" s="44">
        <f aca="true" t="shared" si="5" ref="J12:J25">SUM(D12:I12)</f>
        <v>5000000</v>
      </c>
      <c r="K12" s="45"/>
      <c r="L12" s="46"/>
    </row>
    <row r="13" spans="1:12" ht="15">
      <c r="A13" s="41"/>
      <c r="B13" s="42">
        <v>1129594</v>
      </c>
      <c r="C13" s="43" t="s">
        <v>19</v>
      </c>
      <c r="D13" s="44">
        <v>400000</v>
      </c>
      <c r="E13" s="44">
        <v>400000</v>
      </c>
      <c r="F13" s="44">
        <v>450000</v>
      </c>
      <c r="G13" s="44">
        <v>0</v>
      </c>
      <c r="H13" s="44">
        <v>450000</v>
      </c>
      <c r="I13" s="44">
        <v>0</v>
      </c>
      <c r="J13" s="44">
        <f>SUM(D13:I13)</f>
        <v>1700000</v>
      </c>
      <c r="K13" s="45"/>
      <c r="L13" s="46"/>
    </row>
    <row r="14" spans="2:12" ht="15" customHeight="1">
      <c r="B14" s="42">
        <v>1129597</v>
      </c>
      <c r="C14" s="43" t="s">
        <v>20</v>
      </c>
      <c r="D14" s="44"/>
      <c r="E14" s="44"/>
      <c r="F14" s="44"/>
      <c r="G14" s="44"/>
      <c r="H14" s="44"/>
      <c r="I14" s="44"/>
      <c r="J14" s="44">
        <f>SUM(D14:I14)</f>
        <v>0</v>
      </c>
      <c r="K14" s="48" t="s">
        <v>21</v>
      </c>
      <c r="L14" s="46" t="s">
        <v>22</v>
      </c>
    </row>
    <row r="15" spans="2:12" ht="15" customHeight="1">
      <c r="B15" s="42">
        <v>1129598</v>
      </c>
      <c r="C15" s="43" t="s">
        <v>23</v>
      </c>
      <c r="D15" s="44">
        <v>500000</v>
      </c>
      <c r="E15" s="44"/>
      <c r="F15" s="44"/>
      <c r="G15" s="44"/>
      <c r="H15" s="44"/>
      <c r="I15" s="44"/>
      <c r="J15" s="44">
        <f>SUM(D15:I15)</f>
        <v>500000</v>
      </c>
      <c r="K15" s="48" t="s">
        <v>24</v>
      </c>
      <c r="L15" s="46" t="s">
        <v>22</v>
      </c>
    </row>
    <row r="16" spans="2:12" ht="15" customHeight="1">
      <c r="B16" s="42">
        <v>1130261</v>
      </c>
      <c r="C16" s="43" t="s">
        <v>25</v>
      </c>
      <c r="D16" s="44">
        <v>100000</v>
      </c>
      <c r="E16" s="44"/>
      <c r="F16" s="44"/>
      <c r="G16" s="44"/>
      <c r="H16" s="44"/>
      <c r="I16" s="44"/>
      <c r="J16" s="44">
        <f aca="true" t="shared" si="6" ref="J16:J19">SUM(D16:I16)</f>
        <v>100000</v>
      </c>
      <c r="K16" s="49"/>
      <c r="L16" s="46"/>
    </row>
    <row r="17" spans="2:12" ht="15">
      <c r="B17" s="42">
        <v>1130303</v>
      </c>
      <c r="C17" s="50" t="s">
        <v>26</v>
      </c>
      <c r="D17" s="44">
        <v>2066</v>
      </c>
      <c r="E17" s="44">
        <v>2066</v>
      </c>
      <c r="F17" s="44"/>
      <c r="G17" s="44"/>
      <c r="H17" s="44"/>
      <c r="I17" s="44"/>
      <c r="J17" s="44">
        <f t="shared" si="6"/>
        <v>4132</v>
      </c>
      <c r="K17" s="51"/>
      <c r="L17" s="46"/>
    </row>
    <row r="18" spans="2:12" ht="15">
      <c r="B18" s="42">
        <v>1131235</v>
      </c>
      <c r="C18" s="50" t="s">
        <v>27</v>
      </c>
      <c r="D18" s="44"/>
      <c r="E18" s="44"/>
      <c r="F18" s="44"/>
      <c r="G18" s="44"/>
      <c r="H18" s="44"/>
      <c r="I18" s="44"/>
      <c r="J18" s="44">
        <f t="shared" si="6"/>
        <v>0</v>
      </c>
      <c r="K18" s="51"/>
      <c r="L18" s="46"/>
    </row>
    <row r="19" spans="2:12" ht="15">
      <c r="B19" s="42">
        <v>1131237</v>
      </c>
      <c r="C19" s="50" t="s">
        <v>28</v>
      </c>
      <c r="D19" s="44">
        <v>180000</v>
      </c>
      <c r="E19" s="44"/>
      <c r="F19" s="44"/>
      <c r="G19" s="44"/>
      <c r="H19" s="44"/>
      <c r="I19" s="44"/>
      <c r="J19" s="44">
        <f t="shared" si="6"/>
        <v>180000</v>
      </c>
      <c r="K19" s="51"/>
      <c r="L19" s="46"/>
    </row>
    <row r="20" spans="2:12" ht="15" customHeight="1">
      <c r="B20" s="42">
        <v>1134079</v>
      </c>
      <c r="C20" s="52" t="s">
        <v>29</v>
      </c>
      <c r="D20" s="44">
        <v>100000</v>
      </c>
      <c r="E20" s="44"/>
      <c r="F20" s="44">
        <v>320000</v>
      </c>
      <c r="G20" s="44">
        <v>1690000</v>
      </c>
      <c r="H20" s="44"/>
      <c r="I20" s="44"/>
      <c r="J20" s="44">
        <f>SUM(D20:I20)</f>
        <v>2110000</v>
      </c>
      <c r="K20" s="45"/>
      <c r="L20" s="53" t="s">
        <v>30</v>
      </c>
    </row>
    <row r="21" spans="2:12" ht="30" customHeight="1">
      <c r="B21" s="42">
        <v>1134080</v>
      </c>
      <c r="C21" s="43" t="s">
        <v>31</v>
      </c>
      <c r="D21" s="44">
        <v>150000</v>
      </c>
      <c r="E21" s="44"/>
      <c r="F21" s="44">
        <v>400000</v>
      </c>
      <c r="G21" s="44"/>
      <c r="H21" s="44">
        <v>600000</v>
      </c>
      <c r="I21" s="44"/>
      <c r="J21" s="44">
        <f>SUM(D21:I21)</f>
        <v>1150000</v>
      </c>
      <c r="K21" s="45" t="s">
        <v>32</v>
      </c>
      <c r="L21" s="53" t="s">
        <v>33</v>
      </c>
    </row>
    <row r="22" spans="2:12" ht="16.9" customHeight="1">
      <c r="B22" s="42">
        <v>1134081</v>
      </c>
      <c r="C22" s="43" t="s">
        <v>34</v>
      </c>
      <c r="D22" s="44">
        <v>800000</v>
      </c>
      <c r="E22" s="44"/>
      <c r="F22" s="44"/>
      <c r="G22" s="44"/>
      <c r="H22" s="44"/>
      <c r="I22" s="44"/>
      <c r="J22" s="44">
        <f t="shared" si="5"/>
        <v>800000</v>
      </c>
      <c r="K22" s="45" t="s">
        <v>32</v>
      </c>
      <c r="L22" s="54" t="s">
        <v>35</v>
      </c>
    </row>
    <row r="23" spans="2:12" ht="16.9" customHeight="1">
      <c r="B23" s="42">
        <v>1135042</v>
      </c>
      <c r="C23" s="43" t="s">
        <v>36</v>
      </c>
      <c r="D23" s="44">
        <v>505000</v>
      </c>
      <c r="E23" s="44"/>
      <c r="F23" s="44">
        <v>1500000</v>
      </c>
      <c r="G23" s="44"/>
      <c r="H23" s="44">
        <v>14400000</v>
      </c>
      <c r="I23" s="44"/>
      <c r="J23" s="44">
        <f t="shared" si="5"/>
        <v>16405000</v>
      </c>
      <c r="K23" s="27"/>
      <c r="L23" s="55"/>
    </row>
    <row r="24" spans="2:12" ht="16.9" customHeight="1">
      <c r="B24" s="42">
        <v>1135043</v>
      </c>
      <c r="C24" s="43" t="s">
        <v>37</v>
      </c>
      <c r="D24" s="44"/>
      <c r="E24" s="44"/>
      <c r="F24" s="44">
        <v>5000000</v>
      </c>
      <c r="G24" s="44">
        <v>1500000</v>
      </c>
      <c r="H24" s="44"/>
      <c r="I24" s="44">
        <v>16400000</v>
      </c>
      <c r="J24" s="44">
        <f t="shared" si="5"/>
        <v>22900000</v>
      </c>
      <c r="K24" s="27"/>
      <c r="L24" s="55"/>
    </row>
    <row r="25" spans="2:12" ht="16.9" customHeight="1" thickBot="1">
      <c r="B25" s="56">
        <v>1135044</v>
      </c>
      <c r="C25" s="57" t="s">
        <v>38</v>
      </c>
      <c r="D25" s="58"/>
      <c r="E25" s="58"/>
      <c r="F25" s="58">
        <v>1200000</v>
      </c>
      <c r="G25" s="58"/>
      <c r="H25" s="58">
        <v>10400000</v>
      </c>
      <c r="I25" s="58"/>
      <c r="J25" s="58">
        <f t="shared" si="5"/>
        <v>11600000</v>
      </c>
      <c r="K25" s="27"/>
      <c r="L25" s="55"/>
    </row>
    <row r="26" spans="2:12" ht="15">
      <c r="B26" s="59"/>
      <c r="C26" s="60" t="s">
        <v>39</v>
      </c>
      <c r="D26" s="61">
        <f>SUM(D11:D25)</f>
        <v>5317066</v>
      </c>
      <c r="E26" s="61">
        <f aca="true" t="shared" si="7" ref="E26:J26">SUM(E11:E25)</f>
        <v>2922066</v>
      </c>
      <c r="F26" s="61">
        <f t="shared" si="7"/>
        <v>8920000</v>
      </c>
      <c r="G26" s="61">
        <f t="shared" si="7"/>
        <v>3270000</v>
      </c>
      <c r="H26" s="61">
        <f t="shared" si="7"/>
        <v>25900000</v>
      </c>
      <c r="I26" s="61">
        <f t="shared" si="7"/>
        <v>16400000</v>
      </c>
      <c r="J26" s="61">
        <f t="shared" si="7"/>
        <v>62729132</v>
      </c>
      <c r="K26" s="32"/>
      <c r="L26" s="33"/>
    </row>
    <row r="27" spans="4:12" ht="15">
      <c r="D27" s="63"/>
      <c r="E27" s="63"/>
      <c r="F27" s="63"/>
      <c r="G27" s="63"/>
      <c r="H27" s="63"/>
      <c r="I27" s="63"/>
      <c r="K27" s="65"/>
      <c r="L27" s="33"/>
    </row>
    <row r="28" spans="1:12" s="6" customFormat="1" ht="23.25">
      <c r="A28" s="1"/>
      <c r="B28" s="327" t="s">
        <v>40</v>
      </c>
      <c r="C28" s="327"/>
      <c r="D28" s="327"/>
      <c r="E28" s="327"/>
      <c r="F28" s="327"/>
      <c r="G28" s="327"/>
      <c r="H28" s="327"/>
      <c r="I28" s="327"/>
      <c r="J28" s="327"/>
      <c r="K28" s="4"/>
      <c r="L28" s="5"/>
    </row>
    <row r="29" spans="2:12" ht="15">
      <c r="B29" s="7" t="s">
        <v>2</v>
      </c>
      <c r="C29" s="8" t="s">
        <v>3</v>
      </c>
      <c r="D29" s="66">
        <v>2019</v>
      </c>
      <c r="E29" s="66">
        <v>2020</v>
      </c>
      <c r="F29" s="66">
        <v>2021</v>
      </c>
      <c r="G29" s="66">
        <v>2022</v>
      </c>
      <c r="H29" s="66">
        <v>2023</v>
      </c>
      <c r="I29" s="66">
        <v>2024</v>
      </c>
      <c r="J29" s="66" t="s">
        <v>4</v>
      </c>
      <c r="K29" s="67" t="s">
        <v>6</v>
      </c>
      <c r="L29" s="12" t="s">
        <v>6</v>
      </c>
    </row>
    <row r="30" spans="2:12" ht="15">
      <c r="B30" s="13">
        <v>33341</v>
      </c>
      <c r="C30" s="14" t="s">
        <v>7</v>
      </c>
      <c r="D30" s="15">
        <v>5000000</v>
      </c>
      <c r="E30" s="15">
        <f>5000000+759337</f>
        <v>5759337</v>
      </c>
      <c r="F30" s="15">
        <v>2624000</v>
      </c>
      <c r="G30" s="15"/>
      <c r="H30" s="15"/>
      <c r="I30" s="15"/>
      <c r="J30" s="15">
        <f aca="true" t="shared" si="8" ref="J30:J45">SUM(D30:I30)</f>
        <v>13383337</v>
      </c>
      <c r="K30" s="16" t="s">
        <v>41</v>
      </c>
      <c r="L30" s="17"/>
    </row>
    <row r="31" spans="2:13" ht="15" customHeight="1">
      <c r="B31" s="18">
        <v>33343</v>
      </c>
      <c r="C31" s="68" t="s">
        <v>42</v>
      </c>
      <c r="D31" s="20">
        <v>568742</v>
      </c>
      <c r="E31" s="20"/>
      <c r="F31" s="20">
        <v>2525115</v>
      </c>
      <c r="G31" s="20"/>
      <c r="H31" s="20"/>
      <c r="I31" s="20"/>
      <c r="J31" s="20">
        <f t="shared" si="8"/>
        <v>3093857</v>
      </c>
      <c r="K31" s="21" t="s">
        <v>43</v>
      </c>
      <c r="L31" s="17"/>
      <c r="M31" s="69"/>
    </row>
    <row r="32" spans="2:12" ht="15">
      <c r="B32" s="18">
        <v>33436</v>
      </c>
      <c r="C32" s="68" t="s">
        <v>44</v>
      </c>
      <c r="D32" s="20">
        <v>300000</v>
      </c>
      <c r="E32" s="20"/>
      <c r="F32" s="20"/>
      <c r="G32" s="20"/>
      <c r="H32" s="20"/>
      <c r="I32" s="20"/>
      <c r="J32" s="20">
        <f t="shared" si="8"/>
        <v>300000</v>
      </c>
      <c r="K32" s="16"/>
      <c r="L32" s="17"/>
    </row>
    <row r="33" spans="2:12" ht="15">
      <c r="B33" s="18">
        <v>33437</v>
      </c>
      <c r="C33" s="68" t="s">
        <v>45</v>
      </c>
      <c r="D33" s="20"/>
      <c r="E33" s="20"/>
      <c r="F33" s="20"/>
      <c r="G33" s="20"/>
      <c r="H33" s="20"/>
      <c r="I33" s="20"/>
      <c r="J33" s="20">
        <f t="shared" si="8"/>
        <v>0</v>
      </c>
      <c r="K33" s="16"/>
      <c r="L33" s="17"/>
    </row>
    <row r="34" spans="2:15" ht="15">
      <c r="B34" s="18">
        <v>39113</v>
      </c>
      <c r="C34" s="68" t="s">
        <v>46</v>
      </c>
      <c r="D34" s="20">
        <v>900000</v>
      </c>
      <c r="E34" s="20">
        <f>SUM(E76:E80)-E31</f>
        <v>0</v>
      </c>
      <c r="F34" s="20">
        <f>SUM(F76:F80)-F31+F151</f>
        <v>2785674</v>
      </c>
      <c r="G34" s="20">
        <f>SUM(G76:G80)-G31+G151</f>
        <v>4968772</v>
      </c>
      <c r="H34" s="20">
        <f>SUM(H76:H80)-H31+H151</f>
        <v>11115101</v>
      </c>
      <c r="I34" s="20">
        <f>SUM(I76:I80)-I31+I151</f>
        <v>12701261</v>
      </c>
      <c r="J34" s="20">
        <f t="shared" si="8"/>
        <v>32470808</v>
      </c>
      <c r="K34" s="16" t="s">
        <v>47</v>
      </c>
      <c r="L34" s="17"/>
      <c r="M34" s="70"/>
      <c r="O34" s="71"/>
    </row>
    <row r="35" spans="2:15" ht="15" customHeight="1">
      <c r="B35" s="18">
        <v>39721</v>
      </c>
      <c r="C35" s="68" t="s">
        <v>48</v>
      </c>
      <c r="D35" s="20">
        <f>+D139</f>
        <v>1850000</v>
      </c>
      <c r="E35" s="20">
        <f aca="true" t="shared" si="9" ref="E35:I35">+E139</f>
        <v>1850000</v>
      </c>
      <c r="F35" s="20">
        <f t="shared" si="9"/>
        <v>1500000</v>
      </c>
      <c r="G35" s="20">
        <f t="shared" si="9"/>
        <v>1500000</v>
      </c>
      <c r="H35" s="20">
        <f t="shared" si="9"/>
        <v>750000</v>
      </c>
      <c r="I35" s="20">
        <f t="shared" si="9"/>
        <v>750000</v>
      </c>
      <c r="J35" s="20">
        <f t="shared" si="8"/>
        <v>8200000</v>
      </c>
      <c r="K35" s="21" t="s">
        <v>49</v>
      </c>
      <c r="L35" s="17" t="s">
        <v>50</v>
      </c>
      <c r="M35" t="s">
        <v>51</v>
      </c>
      <c r="O35" s="69"/>
    </row>
    <row r="36" spans="2:15" ht="30">
      <c r="B36" s="18">
        <v>39721</v>
      </c>
      <c r="C36" s="68" t="s">
        <v>52</v>
      </c>
      <c r="D36" s="20">
        <f>+D141</f>
        <v>350000</v>
      </c>
      <c r="E36" s="20">
        <f aca="true" t="shared" si="10" ref="E36:I37">+E141</f>
        <v>850000</v>
      </c>
      <c r="F36" s="20">
        <f t="shared" si="10"/>
        <v>800000</v>
      </c>
      <c r="G36" s="20">
        <f t="shared" si="10"/>
        <v>800000</v>
      </c>
      <c r="H36" s="20">
        <f t="shared" si="10"/>
        <v>750000</v>
      </c>
      <c r="I36" s="20">
        <f t="shared" si="10"/>
        <v>750000</v>
      </c>
      <c r="J36" s="20">
        <f t="shared" si="8"/>
        <v>4300000</v>
      </c>
      <c r="K36" s="21"/>
      <c r="L36" s="17"/>
      <c r="M36" t="s">
        <v>51</v>
      </c>
      <c r="O36" s="69"/>
    </row>
    <row r="37" spans="2:13" ht="30">
      <c r="B37" s="18">
        <v>39721</v>
      </c>
      <c r="C37" s="68" t="s">
        <v>53</v>
      </c>
      <c r="D37" s="20">
        <f>+D142</f>
        <v>450000</v>
      </c>
      <c r="E37" s="20">
        <f t="shared" si="10"/>
        <v>450000</v>
      </c>
      <c r="F37" s="20">
        <f t="shared" si="10"/>
        <v>450000</v>
      </c>
      <c r="G37" s="20">
        <f t="shared" si="10"/>
        <v>450000</v>
      </c>
      <c r="H37" s="20">
        <f t="shared" si="10"/>
        <v>400000</v>
      </c>
      <c r="I37" s="20">
        <f t="shared" si="10"/>
        <v>400000</v>
      </c>
      <c r="J37" s="20">
        <f t="shared" si="8"/>
        <v>2600000</v>
      </c>
      <c r="K37" s="21"/>
      <c r="L37" s="17"/>
      <c r="M37" t="s">
        <v>51</v>
      </c>
    </row>
    <row r="38" spans="2:13" ht="15">
      <c r="B38" s="18">
        <v>39721</v>
      </c>
      <c r="C38" s="68" t="s">
        <v>54</v>
      </c>
      <c r="D38" s="20">
        <f>+D144</f>
        <v>961000</v>
      </c>
      <c r="E38" s="20">
        <f aca="true" t="shared" si="11" ref="E38:I38">+E144</f>
        <v>961000</v>
      </c>
      <c r="F38" s="20">
        <f t="shared" si="11"/>
        <v>1465000</v>
      </c>
      <c r="G38" s="20">
        <f t="shared" si="11"/>
        <v>1465000</v>
      </c>
      <c r="H38" s="20">
        <f t="shared" si="11"/>
        <v>1450000</v>
      </c>
      <c r="I38" s="20">
        <f t="shared" si="11"/>
        <v>1450000</v>
      </c>
      <c r="J38" s="20">
        <f t="shared" si="8"/>
        <v>7752000</v>
      </c>
      <c r="K38" s="21"/>
      <c r="L38" s="17"/>
      <c r="M38" t="s">
        <v>51</v>
      </c>
    </row>
    <row r="39" spans="2:12" ht="15">
      <c r="B39" s="18">
        <v>39780</v>
      </c>
      <c r="C39" s="68" t="s">
        <v>55</v>
      </c>
      <c r="D39" s="20"/>
      <c r="E39" s="20"/>
      <c r="F39" s="20"/>
      <c r="G39" s="20"/>
      <c r="H39" s="20"/>
      <c r="I39" s="20"/>
      <c r="J39" s="20">
        <f t="shared" si="8"/>
        <v>0</v>
      </c>
      <c r="K39" s="16" t="s">
        <v>56</v>
      </c>
      <c r="L39" s="17"/>
    </row>
    <row r="40" spans="2:12" ht="15">
      <c r="B40" s="18">
        <v>39782</v>
      </c>
      <c r="C40" s="68" t="s">
        <v>10</v>
      </c>
      <c r="D40" s="20">
        <f aca="true" t="shared" si="12" ref="D40:I40">D105-D6</f>
        <v>13452934</v>
      </c>
      <c r="E40" s="20">
        <f t="shared" si="12"/>
        <v>14047934</v>
      </c>
      <c r="F40" s="20">
        <f t="shared" si="12"/>
        <v>10551627</v>
      </c>
      <c r="G40" s="20">
        <f t="shared" si="12"/>
        <v>5655627</v>
      </c>
      <c r="H40" s="20">
        <f t="shared" si="12"/>
        <v>5560547</v>
      </c>
      <c r="I40" s="20">
        <f t="shared" si="12"/>
        <v>4041547</v>
      </c>
      <c r="J40" s="20">
        <f t="shared" si="8"/>
        <v>53310216</v>
      </c>
      <c r="K40" s="16"/>
      <c r="L40" s="17"/>
    </row>
    <row r="41" spans="2:12" ht="15">
      <c r="B41" s="18">
        <v>39789</v>
      </c>
      <c r="C41" s="68" t="s">
        <v>57</v>
      </c>
      <c r="D41" s="20">
        <f>+D136</f>
        <v>6694000</v>
      </c>
      <c r="E41" s="20">
        <f aca="true" t="shared" si="13" ref="E41:I41">+E136</f>
        <v>0</v>
      </c>
      <c r="F41" s="20">
        <f t="shared" si="13"/>
        <v>1747000</v>
      </c>
      <c r="G41" s="20">
        <f t="shared" si="13"/>
        <v>0</v>
      </c>
      <c r="H41" s="20">
        <f t="shared" si="13"/>
        <v>2287000</v>
      </c>
      <c r="I41" s="20">
        <f t="shared" si="13"/>
        <v>540000</v>
      </c>
      <c r="J41" s="20">
        <f t="shared" si="8"/>
        <v>11268000</v>
      </c>
      <c r="K41" s="16"/>
      <c r="L41" s="17"/>
    </row>
    <row r="42" spans="2:12" ht="15">
      <c r="B42" s="18">
        <v>43367</v>
      </c>
      <c r="C42" s="68" t="s">
        <v>58</v>
      </c>
      <c r="D42" s="20">
        <v>350000</v>
      </c>
      <c r="E42" s="20">
        <v>350000</v>
      </c>
      <c r="F42" s="20">
        <v>350000</v>
      </c>
      <c r="G42" s="20">
        <v>350000</v>
      </c>
      <c r="H42" s="20"/>
      <c r="I42" s="20"/>
      <c r="J42" s="20">
        <f t="shared" si="8"/>
        <v>1400000</v>
      </c>
      <c r="K42" s="16"/>
      <c r="L42" s="17"/>
    </row>
    <row r="43" spans="2:12" ht="15">
      <c r="B43" s="72">
        <v>44179</v>
      </c>
      <c r="C43" s="73" t="s">
        <v>59</v>
      </c>
      <c r="D43" s="74">
        <f aca="true" t="shared" si="14" ref="D43:I43">+D74</f>
        <v>1900000</v>
      </c>
      <c r="E43" s="74">
        <f t="shared" si="14"/>
        <v>2200000</v>
      </c>
      <c r="F43" s="74">
        <f t="shared" si="14"/>
        <v>1750000</v>
      </c>
      <c r="G43" s="74">
        <f t="shared" si="14"/>
        <v>1400000</v>
      </c>
      <c r="H43" s="74">
        <f t="shared" si="14"/>
        <v>1650000</v>
      </c>
      <c r="I43" s="74">
        <f t="shared" si="14"/>
        <v>0</v>
      </c>
      <c r="J43" s="74">
        <f t="shared" si="8"/>
        <v>8900000</v>
      </c>
      <c r="K43" s="16" t="s">
        <v>60</v>
      </c>
      <c r="L43" s="17"/>
    </row>
    <row r="44" spans="2:12" ht="15">
      <c r="B44" s="72"/>
      <c r="C44" s="73" t="s">
        <v>61</v>
      </c>
      <c r="D44" s="74"/>
      <c r="E44" s="74"/>
      <c r="F44" s="74"/>
      <c r="G44" s="74"/>
      <c r="H44" s="74"/>
      <c r="I44" s="74"/>
      <c r="J44" s="74">
        <f>SUM(D44:I44)</f>
        <v>0</v>
      </c>
      <c r="K44" s="16"/>
      <c r="L44" s="17"/>
    </row>
    <row r="45" spans="2:13" ht="15.75" thickBot="1">
      <c r="B45" s="23"/>
      <c r="C45" s="24" t="s">
        <v>62</v>
      </c>
      <c r="D45" s="26">
        <f>20721+2129705+1000000</f>
        <v>3150426</v>
      </c>
      <c r="E45" s="26"/>
      <c r="F45" s="26"/>
      <c r="G45" s="26"/>
      <c r="H45" s="26"/>
      <c r="I45" s="26"/>
      <c r="J45" s="26">
        <f t="shared" si="8"/>
        <v>3150426</v>
      </c>
      <c r="K45" s="16"/>
      <c r="L45" s="17"/>
      <c r="M45" s="69"/>
    </row>
    <row r="46" spans="1:12" s="6" customFormat="1" ht="15">
      <c r="A46" s="1"/>
      <c r="B46" s="29"/>
      <c r="C46" s="30" t="s">
        <v>12</v>
      </c>
      <c r="D46" s="31">
        <f aca="true" t="shared" si="15" ref="D46:J46">SUM(D30:D45)</f>
        <v>35927102</v>
      </c>
      <c r="E46" s="31">
        <f t="shared" si="15"/>
        <v>26468271</v>
      </c>
      <c r="F46" s="31">
        <f t="shared" si="15"/>
        <v>26548416</v>
      </c>
      <c r="G46" s="31">
        <f t="shared" si="15"/>
        <v>16589399</v>
      </c>
      <c r="H46" s="31">
        <f t="shared" si="15"/>
        <v>23962648</v>
      </c>
      <c r="I46" s="31">
        <f t="shared" si="15"/>
        <v>20632808</v>
      </c>
      <c r="J46" s="31">
        <f t="shared" si="15"/>
        <v>150128644</v>
      </c>
      <c r="K46" s="75"/>
      <c r="L46" s="76"/>
    </row>
    <row r="47" spans="11:12" ht="15">
      <c r="K47" s="65"/>
      <c r="L47" s="33"/>
    </row>
    <row r="48" spans="2:12" ht="15">
      <c r="B48" s="7" t="s">
        <v>13</v>
      </c>
      <c r="C48" s="8" t="s">
        <v>14</v>
      </c>
      <c r="D48" s="66">
        <v>2019</v>
      </c>
      <c r="E48" s="66">
        <v>2020</v>
      </c>
      <c r="F48" s="66">
        <v>2021</v>
      </c>
      <c r="G48" s="66">
        <v>2022</v>
      </c>
      <c r="H48" s="66">
        <v>2023</v>
      </c>
      <c r="I48" s="66">
        <v>2024</v>
      </c>
      <c r="J48" s="66" t="s">
        <v>4</v>
      </c>
      <c r="K48" s="77"/>
      <c r="L48" s="12" t="s">
        <v>6</v>
      </c>
    </row>
    <row r="49" spans="1:12" ht="15">
      <c r="A49" s="41"/>
      <c r="B49" s="78">
        <v>1129582</v>
      </c>
      <c r="C49" s="79" t="s">
        <v>63</v>
      </c>
      <c r="D49" s="20">
        <f>ROUNDDOWN(SUM(D52:D96)-D74,-5)*0.05</f>
        <v>1080000</v>
      </c>
      <c r="E49" s="20">
        <f aca="true" t="shared" si="16" ref="E49:I49">ROUNDDOWN(SUM(E52:E96)-E74,-5)*0.05</f>
        <v>845000</v>
      </c>
      <c r="F49" s="20">
        <f>ROUNDDOWN(SUM(F52:F96)-F74,-5)*0.05+150000</f>
        <v>1245000</v>
      </c>
      <c r="G49" s="20">
        <f t="shared" si="16"/>
        <v>650000</v>
      </c>
      <c r="H49" s="20">
        <f t="shared" si="16"/>
        <v>990000</v>
      </c>
      <c r="I49" s="20">
        <f t="shared" si="16"/>
        <v>910000</v>
      </c>
      <c r="J49" s="20">
        <f aca="true" t="shared" si="17" ref="J49:J80">SUM(D49:I49)</f>
        <v>5720000</v>
      </c>
      <c r="K49" s="16"/>
      <c r="L49" s="80" t="s">
        <v>17</v>
      </c>
    </row>
    <row r="50" spans="2:15" ht="15">
      <c r="B50" s="81">
        <v>1129583</v>
      </c>
      <c r="C50" s="82" t="s">
        <v>64</v>
      </c>
      <c r="D50" s="20">
        <v>5000000</v>
      </c>
      <c r="E50" s="20">
        <v>5000000</v>
      </c>
      <c r="F50" s="20"/>
      <c r="G50" s="20"/>
      <c r="H50" s="20"/>
      <c r="I50" s="20"/>
      <c r="J50" s="20">
        <f t="shared" si="17"/>
        <v>10000000</v>
      </c>
      <c r="K50" s="16"/>
      <c r="L50" s="17"/>
      <c r="O50" s="69"/>
    </row>
    <row r="51" spans="1:15" s="47" customFormat="1" ht="15">
      <c r="A51" s="41"/>
      <c r="B51" s="78">
        <v>1129584</v>
      </c>
      <c r="C51" s="79" t="s">
        <v>65</v>
      </c>
      <c r="D51" s="20">
        <v>1500000</v>
      </c>
      <c r="E51" s="20">
        <v>1500000</v>
      </c>
      <c r="F51" s="20">
        <v>1500000</v>
      </c>
      <c r="G51" s="20">
        <v>1500000</v>
      </c>
      <c r="H51" s="20">
        <v>1500000</v>
      </c>
      <c r="I51" s="20">
        <v>1500000</v>
      </c>
      <c r="J51" s="20">
        <f t="shared" si="17"/>
        <v>9000000</v>
      </c>
      <c r="K51" s="16"/>
      <c r="L51" s="80"/>
      <c r="M51"/>
      <c r="O51" s="83"/>
    </row>
    <row r="52" spans="2:14" ht="15">
      <c r="B52" s="81">
        <v>1129585</v>
      </c>
      <c r="C52" s="82" t="s">
        <v>66</v>
      </c>
      <c r="D52" s="84"/>
      <c r="E52" s="84"/>
      <c r="F52" s="84"/>
      <c r="G52" s="84"/>
      <c r="H52" s="84"/>
      <c r="I52" s="84"/>
      <c r="J52" s="85"/>
      <c r="K52" s="86"/>
      <c r="L52" s="17"/>
      <c r="N52" s="69"/>
    </row>
    <row r="53" spans="2:14" ht="15">
      <c r="B53" s="13"/>
      <c r="C53" s="87" t="s">
        <v>67</v>
      </c>
      <c r="D53" s="20">
        <v>2400000</v>
      </c>
      <c r="E53" s="20">
        <v>4420000</v>
      </c>
      <c r="F53" s="20">
        <f>3000000-390000+390000</f>
        <v>3000000</v>
      </c>
      <c r="G53" s="20"/>
      <c r="H53" s="20"/>
      <c r="I53" s="20"/>
      <c r="J53" s="20">
        <f t="shared" si="17"/>
        <v>9820000</v>
      </c>
      <c r="K53" s="16"/>
      <c r="L53" s="17"/>
      <c r="N53" s="69"/>
    </row>
    <row r="54" spans="1:15" s="47" customFormat="1" ht="15">
      <c r="A54" s="41"/>
      <c r="B54" s="18"/>
      <c r="C54" s="88" t="s">
        <v>68</v>
      </c>
      <c r="D54" s="20">
        <v>1000000</v>
      </c>
      <c r="E54" s="20">
        <v>1000000</v>
      </c>
      <c r="F54" s="20">
        <v>1000000</v>
      </c>
      <c r="G54" s="20">
        <v>1000000</v>
      </c>
      <c r="H54" s="20">
        <v>1000000</v>
      </c>
      <c r="I54" s="20"/>
      <c r="J54" s="20">
        <f t="shared" si="17"/>
        <v>5000000</v>
      </c>
      <c r="K54" s="16"/>
      <c r="L54" s="80"/>
      <c r="M54"/>
      <c r="O54" s="83"/>
    </row>
    <row r="55" spans="2:12" ht="15.6" customHeight="1">
      <c r="B55" s="13"/>
      <c r="C55" s="87" t="s">
        <v>69</v>
      </c>
      <c r="D55" s="20"/>
      <c r="E55" s="20">
        <v>877846</v>
      </c>
      <c r="F55" s="20">
        <v>4216588</v>
      </c>
      <c r="G55" s="20"/>
      <c r="H55" s="20"/>
      <c r="I55" s="20"/>
      <c r="J55" s="20">
        <f t="shared" si="17"/>
        <v>5094434</v>
      </c>
      <c r="K55" s="16" t="s">
        <v>70</v>
      </c>
      <c r="L55" s="89" t="s">
        <v>71</v>
      </c>
    </row>
    <row r="56" spans="2:12" ht="15">
      <c r="B56" s="78">
        <v>1129586</v>
      </c>
      <c r="C56" s="82" t="s">
        <v>72</v>
      </c>
      <c r="D56" s="84"/>
      <c r="E56" s="84"/>
      <c r="F56" s="84"/>
      <c r="G56" s="84"/>
      <c r="H56" s="84"/>
      <c r="I56" s="84"/>
      <c r="J56" s="85"/>
      <c r="K56" s="86"/>
      <c r="L56" s="17"/>
    </row>
    <row r="57" spans="1:14" ht="15">
      <c r="A57" s="41"/>
      <c r="B57" s="18"/>
      <c r="C57" s="88" t="s">
        <v>73</v>
      </c>
      <c r="D57" s="20">
        <v>3150000</v>
      </c>
      <c r="E57" s="20">
        <v>2650000</v>
      </c>
      <c r="F57" s="20">
        <v>2300000</v>
      </c>
      <c r="G57" s="20">
        <v>2300000</v>
      </c>
      <c r="H57" s="20">
        <v>2000000</v>
      </c>
      <c r="I57" s="20">
        <v>1800000</v>
      </c>
      <c r="J57" s="20">
        <f t="shared" si="17"/>
        <v>14200000</v>
      </c>
      <c r="K57" s="16"/>
      <c r="L57" s="17"/>
      <c r="M57" s="47"/>
      <c r="N57" s="69"/>
    </row>
    <row r="58" spans="1:12" s="47" customFormat="1" ht="15">
      <c r="A58" s="41"/>
      <c r="B58" s="18"/>
      <c r="C58" s="88" t="s">
        <v>74</v>
      </c>
      <c r="D58" s="20">
        <v>500000</v>
      </c>
      <c r="E58" s="20">
        <v>500000</v>
      </c>
      <c r="F58" s="20">
        <v>500000</v>
      </c>
      <c r="G58" s="20">
        <v>500000</v>
      </c>
      <c r="H58" s="20">
        <v>0</v>
      </c>
      <c r="I58" s="20">
        <v>0</v>
      </c>
      <c r="J58" s="20">
        <f t="shared" si="17"/>
        <v>2000000</v>
      </c>
      <c r="K58" s="16"/>
      <c r="L58" s="80"/>
    </row>
    <row r="59" spans="1:12" s="47" customFormat="1" ht="15">
      <c r="A59" s="41"/>
      <c r="B59" s="78">
        <v>1129587</v>
      </c>
      <c r="C59" s="79" t="s">
        <v>75</v>
      </c>
      <c r="D59" s="20"/>
      <c r="E59" s="20">
        <v>3000000</v>
      </c>
      <c r="F59" s="20">
        <v>1000000</v>
      </c>
      <c r="G59" s="20">
        <v>550000</v>
      </c>
      <c r="H59" s="20">
        <v>405000</v>
      </c>
      <c r="I59" s="20">
        <v>525000</v>
      </c>
      <c r="J59" s="20">
        <f t="shared" si="17"/>
        <v>5480000</v>
      </c>
      <c r="K59" s="16"/>
      <c r="L59" s="80"/>
    </row>
    <row r="60" spans="2:13" ht="15">
      <c r="B60" s="78">
        <v>1129588</v>
      </c>
      <c r="C60" s="82" t="s">
        <v>76</v>
      </c>
      <c r="D60" s="84"/>
      <c r="E60" s="84"/>
      <c r="F60" s="84"/>
      <c r="G60" s="84"/>
      <c r="H60" s="84"/>
      <c r="I60" s="84"/>
      <c r="J60" s="85"/>
      <c r="K60" s="86"/>
      <c r="L60" s="17"/>
      <c r="M60" s="47"/>
    </row>
    <row r="61" spans="2:14" ht="15">
      <c r="B61" s="18"/>
      <c r="C61" s="88" t="s">
        <v>77</v>
      </c>
      <c r="D61" s="20">
        <v>500000</v>
      </c>
      <c r="E61" s="20">
        <v>500000</v>
      </c>
      <c r="F61" s="20">
        <v>500000</v>
      </c>
      <c r="G61" s="20">
        <v>0</v>
      </c>
      <c r="H61" s="20">
        <v>0</v>
      </c>
      <c r="I61" s="20">
        <v>0</v>
      </c>
      <c r="J61" s="20">
        <f t="shared" si="17"/>
        <v>1500000</v>
      </c>
      <c r="K61" s="16"/>
      <c r="L61" s="17"/>
      <c r="M61" s="47"/>
      <c r="N61" s="69"/>
    </row>
    <row r="62" spans="2:13" ht="15" customHeight="1">
      <c r="B62" s="18"/>
      <c r="C62" s="90" t="s">
        <v>78</v>
      </c>
      <c r="D62" s="20">
        <v>0</v>
      </c>
      <c r="E62" s="20">
        <v>650000</v>
      </c>
      <c r="F62" s="20"/>
      <c r="G62" s="20"/>
      <c r="H62" s="20"/>
      <c r="I62" s="20"/>
      <c r="J62" s="20">
        <f t="shared" si="17"/>
        <v>650000</v>
      </c>
      <c r="K62" s="21" t="s">
        <v>79</v>
      </c>
      <c r="L62" s="17" t="s">
        <v>80</v>
      </c>
      <c r="M62" s="47"/>
    </row>
    <row r="63" spans="2:13" ht="15">
      <c r="B63" s="78">
        <v>1129589</v>
      </c>
      <c r="C63" s="82" t="s">
        <v>81</v>
      </c>
      <c r="D63" s="20"/>
      <c r="E63" s="20"/>
      <c r="F63" s="20"/>
      <c r="G63" s="20"/>
      <c r="H63" s="20"/>
      <c r="I63" s="20"/>
      <c r="J63" s="20">
        <f t="shared" si="17"/>
        <v>0</v>
      </c>
      <c r="K63" s="16"/>
      <c r="L63" s="17"/>
      <c r="M63" s="47"/>
    </row>
    <row r="64" spans="2:13" ht="15">
      <c r="B64" s="78">
        <v>1129590</v>
      </c>
      <c r="C64" s="82" t="s">
        <v>82</v>
      </c>
      <c r="D64" s="91"/>
      <c r="E64" s="84"/>
      <c r="F64" s="84"/>
      <c r="G64" s="84"/>
      <c r="H64" s="84"/>
      <c r="I64" s="84"/>
      <c r="J64" s="85"/>
      <c r="K64" s="16"/>
      <c r="L64" s="17"/>
      <c r="M64" s="47"/>
    </row>
    <row r="65" spans="2:14" ht="15">
      <c r="B65" s="18"/>
      <c r="C65" s="92" t="s">
        <v>83</v>
      </c>
      <c r="D65" s="20"/>
      <c r="E65" s="20"/>
      <c r="F65" s="20"/>
      <c r="G65" s="20"/>
      <c r="H65" s="20">
        <v>2000000</v>
      </c>
      <c r="I65" s="20"/>
      <c r="J65" s="20">
        <f t="shared" si="17"/>
        <v>2000000</v>
      </c>
      <c r="K65" s="16"/>
      <c r="L65" s="17"/>
      <c r="M65" s="47"/>
      <c r="N65" s="69"/>
    </row>
    <row r="66" spans="2:12" ht="15">
      <c r="B66" s="18"/>
      <c r="C66" s="93" t="s">
        <v>84</v>
      </c>
      <c r="D66" s="20"/>
      <c r="E66" s="20"/>
      <c r="F66" s="44">
        <v>660000</v>
      </c>
      <c r="G66" s="20"/>
      <c r="H66" s="20"/>
      <c r="I66" s="20"/>
      <c r="J66" s="20">
        <f t="shared" si="17"/>
        <v>660000</v>
      </c>
      <c r="K66" s="16"/>
      <c r="L66" s="17"/>
    </row>
    <row r="67" spans="2:12" ht="15">
      <c r="B67" s="18"/>
      <c r="C67" s="93" t="s">
        <v>85</v>
      </c>
      <c r="D67" s="20"/>
      <c r="E67" s="44">
        <v>100000</v>
      </c>
      <c r="F67" s="44"/>
      <c r="G67" s="44">
        <v>800000</v>
      </c>
      <c r="H67" s="20"/>
      <c r="I67" s="20"/>
      <c r="J67" s="20">
        <f t="shared" si="17"/>
        <v>900000</v>
      </c>
      <c r="K67" s="16"/>
      <c r="L67" s="17"/>
    </row>
    <row r="68" spans="2:12" ht="15">
      <c r="B68" s="78">
        <v>1129591</v>
      </c>
      <c r="C68" s="79" t="s">
        <v>86</v>
      </c>
      <c r="D68" s="91"/>
      <c r="E68" s="84"/>
      <c r="F68" s="84"/>
      <c r="G68" s="84"/>
      <c r="H68" s="84"/>
      <c r="I68" s="84"/>
      <c r="J68" s="85"/>
      <c r="K68" s="16"/>
      <c r="L68" s="17"/>
    </row>
    <row r="69" spans="1:14" ht="15">
      <c r="A69" s="41"/>
      <c r="B69" s="18"/>
      <c r="C69" s="94" t="s">
        <v>87</v>
      </c>
      <c r="D69" s="20">
        <v>100000</v>
      </c>
      <c r="E69" s="20">
        <v>100000</v>
      </c>
      <c r="F69" s="20">
        <v>100000</v>
      </c>
      <c r="G69" s="20">
        <v>100000</v>
      </c>
      <c r="H69" s="20">
        <v>100000</v>
      </c>
      <c r="I69" s="20">
        <v>100000</v>
      </c>
      <c r="J69" s="20">
        <f t="shared" si="17"/>
        <v>600000</v>
      </c>
      <c r="K69" s="16"/>
      <c r="L69" s="17"/>
      <c r="N69" s="69"/>
    </row>
    <row r="70" spans="2:12" ht="15">
      <c r="B70" s="18"/>
      <c r="C70" s="95" t="s">
        <v>88</v>
      </c>
      <c r="D70" s="20"/>
      <c r="E70" s="44">
        <v>120000</v>
      </c>
      <c r="F70" s="20"/>
      <c r="G70" s="20"/>
      <c r="H70" s="20"/>
      <c r="I70" s="20"/>
      <c r="J70" s="20">
        <f t="shared" si="17"/>
        <v>120000</v>
      </c>
      <c r="K70" s="16"/>
      <c r="L70" s="17"/>
    </row>
    <row r="71" spans="2:12" ht="15">
      <c r="B71" s="18"/>
      <c r="C71" s="95" t="s">
        <v>89</v>
      </c>
      <c r="D71" s="20"/>
      <c r="E71" s="44">
        <v>175000</v>
      </c>
      <c r="F71" s="20"/>
      <c r="G71" s="20"/>
      <c r="H71" s="20"/>
      <c r="I71" s="20"/>
      <c r="J71" s="20">
        <f t="shared" si="17"/>
        <v>175000</v>
      </c>
      <c r="K71" s="16"/>
      <c r="L71" s="17"/>
    </row>
    <row r="72" spans="2:12" ht="15">
      <c r="B72" s="18"/>
      <c r="C72" s="95" t="s">
        <v>90</v>
      </c>
      <c r="D72" s="20"/>
      <c r="E72" s="44">
        <v>66000</v>
      </c>
      <c r="F72" s="20"/>
      <c r="G72" s="20"/>
      <c r="H72" s="20"/>
      <c r="I72" s="20"/>
      <c r="J72" s="20">
        <f t="shared" si="17"/>
        <v>66000</v>
      </c>
      <c r="K72" s="16"/>
      <c r="L72" s="17"/>
    </row>
    <row r="73" spans="2:12" ht="15">
      <c r="B73" s="78">
        <v>1129841</v>
      </c>
      <c r="C73" s="82" t="s">
        <v>91</v>
      </c>
      <c r="D73" s="20">
        <v>13837</v>
      </c>
      <c r="E73" s="20">
        <v>13837</v>
      </c>
      <c r="F73" s="20"/>
      <c r="G73" s="20"/>
      <c r="H73" s="20"/>
      <c r="I73" s="20"/>
      <c r="J73" s="20">
        <f t="shared" si="17"/>
        <v>27674</v>
      </c>
      <c r="K73" s="16"/>
      <c r="L73" s="17"/>
    </row>
    <row r="74" spans="2:12" ht="15">
      <c r="B74" s="78">
        <v>1131333</v>
      </c>
      <c r="C74" s="96" t="s">
        <v>92</v>
      </c>
      <c r="D74" s="97">
        <v>1900000</v>
      </c>
      <c r="E74" s="97">
        <v>2200000</v>
      </c>
      <c r="F74" s="97">
        <v>1750000</v>
      </c>
      <c r="G74" s="97">
        <v>1400000</v>
      </c>
      <c r="H74" s="97">
        <v>1650000</v>
      </c>
      <c r="I74" s="97"/>
      <c r="J74" s="97">
        <f>SUM(D74:I74)</f>
        <v>8900000</v>
      </c>
      <c r="K74" s="98" t="s">
        <v>93</v>
      </c>
      <c r="L74" s="99"/>
    </row>
    <row r="75" spans="2:12" ht="15">
      <c r="B75" s="78">
        <v>1135073</v>
      </c>
      <c r="C75" s="79" t="s">
        <v>94</v>
      </c>
      <c r="D75" s="84"/>
      <c r="E75" s="84"/>
      <c r="F75" s="84"/>
      <c r="G75" s="84"/>
      <c r="H75" s="84"/>
      <c r="I75" s="84"/>
      <c r="J75" s="85"/>
      <c r="K75" s="100"/>
      <c r="L75" s="101"/>
    </row>
    <row r="76" spans="2:14" ht="15">
      <c r="B76" s="102"/>
      <c r="C76" s="90" t="s">
        <v>95</v>
      </c>
      <c r="D76" s="20">
        <v>533000</v>
      </c>
      <c r="E76" s="20"/>
      <c r="F76" s="20">
        <f>2376540+1000</f>
        <v>2377540</v>
      </c>
      <c r="G76" s="20"/>
      <c r="H76" s="20"/>
      <c r="I76" s="20"/>
      <c r="J76" s="20">
        <f t="shared" si="17"/>
        <v>2910540</v>
      </c>
      <c r="K76" s="16" t="s">
        <v>96</v>
      </c>
      <c r="L76" s="17" t="s">
        <v>97</v>
      </c>
      <c r="N76" s="69"/>
    </row>
    <row r="77" spans="2:12" ht="15">
      <c r="B77" s="102"/>
      <c r="C77" s="90" t="s">
        <v>98</v>
      </c>
      <c r="D77" s="20">
        <v>2094000</v>
      </c>
      <c r="E77" s="20"/>
      <c r="F77" s="20"/>
      <c r="G77" s="20"/>
      <c r="H77" s="20">
        <f>10480000+1000+104810</f>
        <v>10585810</v>
      </c>
      <c r="I77" s="20"/>
      <c r="J77" s="20">
        <f t="shared" si="17"/>
        <v>12679810</v>
      </c>
      <c r="K77" s="16" t="s">
        <v>99</v>
      </c>
      <c r="L77" s="17" t="s">
        <v>100</v>
      </c>
    </row>
    <row r="78" spans="2:12" ht="15" customHeight="1">
      <c r="B78" s="102"/>
      <c r="C78" s="90" t="s">
        <v>101</v>
      </c>
      <c r="D78" s="20">
        <v>1500000</v>
      </c>
      <c r="E78" s="20"/>
      <c r="F78" s="20"/>
      <c r="G78" s="20">
        <v>552750</v>
      </c>
      <c r="H78" s="20"/>
      <c r="I78" s="20">
        <f>12078206+18233</f>
        <v>12096439</v>
      </c>
      <c r="J78" s="20">
        <f t="shared" si="17"/>
        <v>14149189</v>
      </c>
      <c r="K78" s="16"/>
      <c r="L78" s="17"/>
    </row>
    <row r="79" spans="2:12" ht="15" customHeight="1">
      <c r="B79" s="102"/>
      <c r="C79" s="90" t="s">
        <v>102</v>
      </c>
      <c r="D79" s="20">
        <v>2055000</v>
      </c>
      <c r="E79" s="20"/>
      <c r="F79" s="83">
        <f>2923249+10000</f>
        <v>2933249</v>
      </c>
      <c r="G79" s="20"/>
      <c r="H79" s="20"/>
      <c r="I79" s="20"/>
      <c r="J79" s="20">
        <f t="shared" si="17"/>
        <v>4988249</v>
      </c>
      <c r="K79" s="16"/>
      <c r="L79" s="103" t="s">
        <v>103</v>
      </c>
    </row>
    <row r="80" spans="2:13" ht="15">
      <c r="B80" s="102"/>
      <c r="C80" s="90" t="s">
        <v>104</v>
      </c>
      <c r="D80" s="20">
        <v>920000</v>
      </c>
      <c r="E80" s="20"/>
      <c r="F80" s="20"/>
      <c r="G80" s="20">
        <f>3845080+1000</f>
        <v>3846080</v>
      </c>
      <c r="H80" s="20"/>
      <c r="I80" s="20"/>
      <c r="J80" s="20">
        <f t="shared" si="17"/>
        <v>4766080</v>
      </c>
      <c r="K80" s="16" t="s">
        <v>96</v>
      </c>
      <c r="L80" s="103" t="s">
        <v>97</v>
      </c>
      <c r="M80" s="104"/>
    </row>
    <row r="81" spans="2:12" ht="15" customHeight="1">
      <c r="B81" s="78">
        <v>1134082</v>
      </c>
      <c r="C81" s="105" t="s">
        <v>105</v>
      </c>
      <c r="D81" s="74">
        <v>900000</v>
      </c>
      <c r="E81" s="74"/>
      <c r="F81" s="74"/>
      <c r="G81" s="74"/>
      <c r="H81" s="74"/>
      <c r="I81" s="74"/>
      <c r="J81" s="74">
        <f>SUM(D81:I81)</f>
        <v>900000</v>
      </c>
      <c r="K81" s="16" t="s">
        <v>106</v>
      </c>
      <c r="L81" s="103"/>
    </row>
    <row r="82" spans="2:12" ht="15.6" customHeight="1">
      <c r="B82" s="106">
        <v>1134083</v>
      </c>
      <c r="C82" s="43" t="s">
        <v>107</v>
      </c>
      <c r="D82" s="44">
        <v>300000</v>
      </c>
      <c r="E82" s="44"/>
      <c r="F82" s="44"/>
      <c r="G82" s="44"/>
      <c r="H82" s="44"/>
      <c r="I82" s="44"/>
      <c r="J82" s="44">
        <f>SUM(D82:I82)</f>
        <v>300000</v>
      </c>
      <c r="K82" s="45" t="s">
        <v>32</v>
      </c>
      <c r="L82" s="54" t="s">
        <v>108</v>
      </c>
    </row>
    <row r="83" spans="2:14" ht="15">
      <c r="B83" s="78">
        <v>1134093</v>
      </c>
      <c r="C83" s="107" t="s">
        <v>109</v>
      </c>
      <c r="D83" s="84"/>
      <c r="E83" s="84"/>
      <c r="F83" s="84"/>
      <c r="G83" s="84"/>
      <c r="H83" s="84"/>
      <c r="I83" s="84"/>
      <c r="J83" s="85"/>
      <c r="K83" s="86" t="s">
        <v>110</v>
      </c>
      <c r="L83" s="17"/>
      <c r="N83" s="69"/>
    </row>
    <row r="84" spans="1:12" s="47" customFormat="1" ht="15">
      <c r="A84" s="41"/>
      <c r="B84" s="18"/>
      <c r="C84" s="90" t="s">
        <v>111</v>
      </c>
      <c r="D84" s="20">
        <v>100000</v>
      </c>
      <c r="E84" s="20">
        <v>100000</v>
      </c>
      <c r="F84" s="20">
        <v>100000</v>
      </c>
      <c r="G84" s="20">
        <v>100000</v>
      </c>
      <c r="H84" s="20">
        <v>100000</v>
      </c>
      <c r="I84" s="20">
        <v>40000</v>
      </c>
      <c r="J84" s="20">
        <f aca="true" t="shared" si="18" ref="J84:J97">SUM(D84:I84)</f>
        <v>540000</v>
      </c>
      <c r="K84" s="16"/>
      <c r="L84" s="103"/>
    </row>
    <row r="85" spans="2:12" ht="15">
      <c r="B85" s="18"/>
      <c r="C85" s="90" t="s">
        <v>112</v>
      </c>
      <c r="D85" s="20">
        <v>100000</v>
      </c>
      <c r="E85" s="20"/>
      <c r="F85" s="20">
        <v>125000</v>
      </c>
      <c r="G85" s="20">
        <v>125000</v>
      </c>
      <c r="H85" s="20">
        <v>125000</v>
      </c>
      <c r="I85" s="20">
        <v>125000</v>
      </c>
      <c r="J85" s="20">
        <f t="shared" si="18"/>
        <v>600000</v>
      </c>
      <c r="K85" s="16"/>
      <c r="L85" s="103"/>
    </row>
    <row r="86" spans="2:12" ht="15">
      <c r="B86" s="18"/>
      <c r="C86" s="108" t="s">
        <v>113</v>
      </c>
      <c r="D86" s="20"/>
      <c r="E86" s="20"/>
      <c r="F86" s="84"/>
      <c r="G86" s="84"/>
      <c r="H86" s="84"/>
      <c r="I86" s="84"/>
      <c r="J86" s="85"/>
      <c r="K86" s="86"/>
      <c r="L86" s="89"/>
    </row>
    <row r="87" spans="2:12" ht="15">
      <c r="B87" s="18"/>
      <c r="C87" s="109" t="s">
        <v>114</v>
      </c>
      <c r="D87" s="20">
        <v>75000</v>
      </c>
      <c r="E87" s="20"/>
      <c r="F87" s="20"/>
      <c r="G87" s="20"/>
      <c r="H87" s="20"/>
      <c r="I87" s="20"/>
      <c r="J87" s="20">
        <f t="shared" si="18"/>
        <v>75000</v>
      </c>
      <c r="K87" s="16"/>
      <c r="L87" s="89"/>
    </row>
    <row r="88" spans="2:12" ht="15">
      <c r="B88" s="18"/>
      <c r="C88" s="109" t="s">
        <v>115</v>
      </c>
      <c r="D88" s="20"/>
      <c r="E88" s="20">
        <v>300000</v>
      </c>
      <c r="F88" s="20">
        <v>300000</v>
      </c>
      <c r="G88" s="20">
        <v>300000</v>
      </c>
      <c r="H88" s="20"/>
      <c r="I88" s="20"/>
      <c r="J88" s="20">
        <f t="shared" si="18"/>
        <v>900000</v>
      </c>
      <c r="K88" s="16"/>
      <c r="L88" s="89"/>
    </row>
    <row r="89" spans="2:12" ht="15">
      <c r="B89" s="18"/>
      <c r="C89" s="109" t="s">
        <v>116</v>
      </c>
      <c r="D89" s="20"/>
      <c r="E89" s="20"/>
      <c r="F89" s="20"/>
      <c r="G89" s="20"/>
      <c r="H89" s="20">
        <v>300000</v>
      </c>
      <c r="I89" s="20">
        <v>300000</v>
      </c>
      <c r="J89" s="20">
        <f t="shared" si="18"/>
        <v>600000</v>
      </c>
      <c r="K89" s="16"/>
      <c r="L89" s="89"/>
    </row>
    <row r="90" spans="2:12" ht="15">
      <c r="B90" s="18"/>
      <c r="C90" s="109" t="s">
        <v>117</v>
      </c>
      <c r="D90" s="20"/>
      <c r="E90" s="20"/>
      <c r="F90" s="20"/>
      <c r="G90" s="20"/>
      <c r="H90" s="20"/>
      <c r="I90" s="20"/>
      <c r="J90" s="20">
        <f t="shared" si="18"/>
        <v>0</v>
      </c>
      <c r="K90" s="16" t="s">
        <v>99</v>
      </c>
      <c r="L90" s="89" t="s">
        <v>118</v>
      </c>
    </row>
    <row r="91" spans="2:12" ht="15">
      <c r="B91" s="18"/>
      <c r="C91" s="90" t="s">
        <v>119</v>
      </c>
      <c r="D91" s="20">
        <f>75000+35000</f>
        <v>110000</v>
      </c>
      <c r="E91" s="20">
        <f>75000-35000</f>
        <v>40000</v>
      </c>
      <c r="F91" s="20">
        <v>75000</v>
      </c>
      <c r="G91" s="20">
        <v>75000</v>
      </c>
      <c r="H91" s="20">
        <f>75000-10000</f>
        <v>65000</v>
      </c>
      <c r="I91" s="20">
        <f>75000+10000</f>
        <v>85000</v>
      </c>
      <c r="J91" s="20">
        <f t="shared" si="18"/>
        <v>450000</v>
      </c>
      <c r="K91" s="16"/>
      <c r="L91" s="103"/>
    </row>
    <row r="92" spans="2:12" ht="15">
      <c r="B92" s="18"/>
      <c r="C92" s="90" t="s">
        <v>120</v>
      </c>
      <c r="D92" s="20">
        <v>84000</v>
      </c>
      <c r="E92" s="20">
        <v>84000</v>
      </c>
      <c r="F92" s="20">
        <v>81000</v>
      </c>
      <c r="G92" s="20">
        <v>81000</v>
      </c>
      <c r="H92" s="20"/>
      <c r="I92" s="20"/>
      <c r="J92" s="20">
        <f t="shared" si="18"/>
        <v>330000</v>
      </c>
      <c r="K92" s="16"/>
      <c r="L92" s="103"/>
    </row>
    <row r="93" spans="2:12" ht="15" hidden="1">
      <c r="B93" s="78" t="s">
        <v>121</v>
      </c>
      <c r="C93" s="110" t="s">
        <v>122</v>
      </c>
      <c r="D93" s="20"/>
      <c r="E93" s="20"/>
      <c r="F93" s="20"/>
      <c r="G93" s="20"/>
      <c r="H93" s="20"/>
      <c r="I93" s="20"/>
      <c r="J93" s="20">
        <f t="shared" si="18"/>
        <v>0</v>
      </c>
      <c r="K93" s="16" t="s">
        <v>123</v>
      </c>
      <c r="L93" s="103"/>
    </row>
    <row r="94" spans="2:12" ht="15" customHeight="1">
      <c r="B94" s="111">
        <v>1134094</v>
      </c>
      <c r="C94" s="110" t="s">
        <v>124</v>
      </c>
      <c r="D94" s="74">
        <v>1200000</v>
      </c>
      <c r="E94" s="74"/>
      <c r="F94" s="74"/>
      <c r="G94" s="74"/>
      <c r="H94" s="74"/>
      <c r="I94" s="74"/>
      <c r="J94" s="74">
        <f t="shared" si="18"/>
        <v>1200000</v>
      </c>
      <c r="K94" s="16"/>
      <c r="L94" s="103"/>
    </row>
    <row r="95" spans="2:12" ht="30">
      <c r="B95" s="78">
        <v>1135045</v>
      </c>
      <c r="C95" s="79" t="s">
        <v>125</v>
      </c>
      <c r="D95" s="20">
        <v>2261000</v>
      </c>
      <c r="E95" s="20">
        <v>2261000</v>
      </c>
      <c r="F95" s="20">
        <v>2715000</v>
      </c>
      <c r="G95" s="20">
        <v>2715000</v>
      </c>
      <c r="H95" s="20">
        <v>3140000</v>
      </c>
      <c r="I95" s="20">
        <v>3140000</v>
      </c>
      <c r="J95" s="20">
        <f t="shared" si="18"/>
        <v>16232000</v>
      </c>
      <c r="K95" s="16"/>
      <c r="L95" s="103"/>
    </row>
    <row r="96" spans="2:12" ht="15" customHeight="1">
      <c r="B96" s="111">
        <v>1135046</v>
      </c>
      <c r="C96" s="105" t="s">
        <v>126</v>
      </c>
      <c r="D96" s="74">
        <v>1800000</v>
      </c>
      <c r="E96" s="74"/>
      <c r="F96" s="74"/>
      <c r="G96" s="74"/>
      <c r="H96" s="74"/>
      <c r="I96" s="74"/>
      <c r="J96" s="74">
        <f t="shared" si="18"/>
        <v>1800000</v>
      </c>
      <c r="K96" s="16"/>
      <c r="L96" s="103"/>
    </row>
    <row r="97" spans="2:12" ht="15" customHeight="1" thickBot="1">
      <c r="B97" s="112">
        <v>1133447</v>
      </c>
      <c r="C97" s="113" t="s">
        <v>127</v>
      </c>
      <c r="D97" s="26"/>
      <c r="E97" s="26"/>
      <c r="F97" s="26"/>
      <c r="G97" s="26"/>
      <c r="H97" s="26"/>
      <c r="I97" s="26"/>
      <c r="J97" s="26">
        <f t="shared" si="18"/>
        <v>0</v>
      </c>
      <c r="K97" s="16"/>
      <c r="L97" s="103"/>
    </row>
    <row r="98" spans="1:12" s="6" customFormat="1" ht="15">
      <c r="A98" s="1"/>
      <c r="B98" s="29"/>
      <c r="C98" s="30" t="s">
        <v>39</v>
      </c>
      <c r="D98" s="31">
        <f>SUM(D49:D97)</f>
        <v>31175837</v>
      </c>
      <c r="E98" s="31">
        <f aca="true" t="shared" si="19" ref="E98:I98">SUM(E49:E97)</f>
        <v>26502683</v>
      </c>
      <c r="F98" s="31">
        <f t="shared" si="19"/>
        <v>26478377</v>
      </c>
      <c r="G98" s="31">
        <f t="shared" si="19"/>
        <v>16594830</v>
      </c>
      <c r="H98" s="31">
        <f t="shared" si="19"/>
        <v>23960810</v>
      </c>
      <c r="I98" s="31">
        <f t="shared" si="19"/>
        <v>20621439</v>
      </c>
      <c r="J98" s="31">
        <f>SUM(J49:J97)</f>
        <v>145333976</v>
      </c>
      <c r="K98" s="75"/>
      <c r="L98" s="76"/>
    </row>
    <row r="99" spans="4:12" ht="15">
      <c r="D99" s="114"/>
      <c r="E99" s="114"/>
      <c r="F99" s="114"/>
      <c r="G99" s="114"/>
      <c r="H99" s="114"/>
      <c r="I99" s="114"/>
      <c r="J99" s="114"/>
      <c r="K99" s="65"/>
      <c r="L99" s="33"/>
    </row>
    <row r="100" spans="1:12" s="6" customFormat="1" ht="23.25">
      <c r="A100" s="1"/>
      <c r="B100" s="326" t="s">
        <v>128</v>
      </c>
      <c r="C100" s="326"/>
      <c r="D100" s="326"/>
      <c r="E100" s="326"/>
      <c r="F100" s="326"/>
      <c r="G100" s="326"/>
      <c r="H100" s="326"/>
      <c r="I100" s="326"/>
      <c r="J100" s="326"/>
      <c r="K100" s="4"/>
      <c r="L100" s="5"/>
    </row>
    <row r="101" spans="1:12" s="6" customFormat="1" ht="15">
      <c r="A101" s="1"/>
      <c r="B101" s="7"/>
      <c r="C101" s="8"/>
      <c r="D101" s="9">
        <v>2019</v>
      </c>
      <c r="E101" s="9">
        <v>2020</v>
      </c>
      <c r="F101" s="9">
        <v>2021</v>
      </c>
      <c r="G101" s="9">
        <v>2022</v>
      </c>
      <c r="H101" s="9">
        <v>2023</v>
      </c>
      <c r="I101" s="9">
        <v>2024</v>
      </c>
      <c r="J101" s="10" t="s">
        <v>4</v>
      </c>
      <c r="K101" s="11" t="s">
        <v>5</v>
      </c>
      <c r="L101" s="12" t="s">
        <v>6</v>
      </c>
    </row>
    <row r="102" spans="1:13" s="120" customFormat="1" ht="15">
      <c r="A102" s="1"/>
      <c r="B102" s="115"/>
      <c r="C102" s="116" t="s">
        <v>129</v>
      </c>
      <c r="D102" s="117">
        <f aca="true" t="shared" si="20" ref="D102:J102">+D98+D26</f>
        <v>36492903</v>
      </c>
      <c r="E102" s="117">
        <f t="shared" si="20"/>
        <v>29424749</v>
      </c>
      <c r="F102" s="117">
        <f t="shared" si="20"/>
        <v>35398377</v>
      </c>
      <c r="G102" s="117">
        <f t="shared" si="20"/>
        <v>19864830</v>
      </c>
      <c r="H102" s="117">
        <f t="shared" si="20"/>
        <v>49860810</v>
      </c>
      <c r="I102" s="117">
        <f t="shared" si="20"/>
        <v>37021439</v>
      </c>
      <c r="J102" s="117">
        <f t="shared" si="20"/>
        <v>208063108</v>
      </c>
      <c r="K102" s="16"/>
      <c r="L102" s="118"/>
      <c r="M102" s="119"/>
    </row>
    <row r="103" spans="1:12" s="120" customFormat="1" ht="15">
      <c r="A103" s="1"/>
      <c r="B103" s="115"/>
      <c r="C103" s="116" t="s">
        <v>130</v>
      </c>
      <c r="D103" s="121">
        <v>4740729</v>
      </c>
      <c r="E103" s="117"/>
      <c r="F103" s="117"/>
      <c r="G103" s="117"/>
      <c r="H103" s="117"/>
      <c r="I103" s="117"/>
      <c r="J103" s="117">
        <f>SUM(D103:I103)</f>
        <v>4740729</v>
      </c>
      <c r="K103" s="16"/>
      <c r="L103" s="118"/>
    </row>
    <row r="104" spans="1:12" s="120" customFormat="1" ht="15">
      <c r="A104" s="1"/>
      <c r="B104" s="115"/>
      <c r="C104" s="116" t="s">
        <v>131</v>
      </c>
      <c r="D104" s="117">
        <f aca="true" t="shared" si="21" ref="D104:J104">+D46-D40+D8-D6</f>
        <v>26274168</v>
      </c>
      <c r="E104" s="117">
        <f t="shared" si="21"/>
        <v>14920337</v>
      </c>
      <c r="F104" s="117">
        <f t="shared" si="21"/>
        <v>24042789</v>
      </c>
      <c r="G104" s="117">
        <f t="shared" si="21"/>
        <v>12433772</v>
      </c>
      <c r="H104" s="117">
        <f t="shared" si="21"/>
        <v>43721101</v>
      </c>
      <c r="I104" s="117">
        <f t="shared" si="21"/>
        <v>32991261</v>
      </c>
      <c r="J104" s="117">
        <f t="shared" si="21"/>
        <v>154383428</v>
      </c>
      <c r="K104" s="117"/>
      <c r="L104" s="118"/>
    </row>
    <row r="105" spans="2:12" ht="15">
      <c r="B105" s="122"/>
      <c r="C105" s="68" t="s">
        <v>132</v>
      </c>
      <c r="D105" s="16">
        <f aca="true" t="shared" si="22" ref="D105:I105">+D127</f>
        <v>14970000</v>
      </c>
      <c r="E105" s="16">
        <f t="shared" si="22"/>
        <v>14470000</v>
      </c>
      <c r="F105" s="16">
        <f t="shared" si="22"/>
        <v>11425627</v>
      </c>
      <c r="G105" s="16">
        <f t="shared" si="22"/>
        <v>7425627</v>
      </c>
      <c r="H105" s="16">
        <f t="shared" si="22"/>
        <v>6141547</v>
      </c>
      <c r="I105" s="16">
        <f t="shared" si="22"/>
        <v>4041547</v>
      </c>
      <c r="J105" s="16">
        <f aca="true" t="shared" si="23" ref="J105:J106">SUM(D105:I105)</f>
        <v>58474348</v>
      </c>
      <c r="K105" s="16">
        <v>-1</v>
      </c>
      <c r="L105" s="17"/>
    </row>
    <row r="106" spans="2:12" ht="15">
      <c r="B106" s="123"/>
      <c r="C106" s="14" t="s">
        <v>133</v>
      </c>
      <c r="D106" s="124">
        <f>-(+D102+D103-D104-D105)</f>
        <v>10536</v>
      </c>
      <c r="E106" s="124">
        <f aca="true" t="shared" si="24" ref="E106:I106">-(+E102+E103-E104-E105)</f>
        <v>-34412</v>
      </c>
      <c r="F106" s="124">
        <f t="shared" si="24"/>
        <v>70039</v>
      </c>
      <c r="G106" s="124">
        <f t="shared" si="24"/>
        <v>-5431</v>
      </c>
      <c r="H106" s="124">
        <f t="shared" si="24"/>
        <v>1838</v>
      </c>
      <c r="I106" s="124">
        <f t="shared" si="24"/>
        <v>11369</v>
      </c>
      <c r="J106" s="124">
        <f t="shared" si="23"/>
        <v>53939</v>
      </c>
      <c r="K106" s="16"/>
      <c r="L106" s="17"/>
    </row>
    <row r="107" spans="1:12" s="130" customFormat="1" ht="15">
      <c r="A107" s="1"/>
      <c r="B107" s="125"/>
      <c r="C107" s="126"/>
      <c r="D107" s="127"/>
      <c r="E107" s="127"/>
      <c r="F107" s="127"/>
      <c r="G107" s="127"/>
      <c r="H107" s="127"/>
      <c r="I107" s="127"/>
      <c r="J107" s="127"/>
      <c r="K107" s="128"/>
      <c r="L107" s="129"/>
    </row>
    <row r="108" spans="2:13" ht="15">
      <c r="B108" s="123"/>
      <c r="C108" s="14" t="s">
        <v>134</v>
      </c>
      <c r="D108" s="328">
        <f>SUM(D106:E106)</f>
        <v>-23876</v>
      </c>
      <c r="E108" s="328"/>
      <c r="F108" s="328">
        <f>SUM(F106:G106)</f>
        <v>64608</v>
      </c>
      <c r="G108" s="328"/>
      <c r="H108" s="328">
        <f>SUM(H106:I106)</f>
        <v>13207</v>
      </c>
      <c r="I108" s="328"/>
      <c r="J108" s="124">
        <f>SUM(D108:I108)</f>
        <v>53939</v>
      </c>
      <c r="K108" s="16"/>
      <c r="L108" s="17"/>
      <c r="M108" s="69"/>
    </row>
    <row r="109" spans="1:12" s="130" customFormat="1" ht="15">
      <c r="A109" s="1"/>
      <c r="B109" s="125"/>
      <c r="C109" s="126"/>
      <c r="D109" s="127"/>
      <c r="E109" s="127"/>
      <c r="F109" s="127"/>
      <c r="G109" s="127"/>
      <c r="H109" s="127"/>
      <c r="I109" s="127"/>
      <c r="J109" s="127"/>
      <c r="K109" s="128"/>
      <c r="L109" s="129"/>
    </row>
    <row r="110" spans="2:12" ht="15">
      <c r="B110" s="123"/>
      <c r="C110" s="14" t="s">
        <v>135</v>
      </c>
      <c r="D110" s="124">
        <f aca="true" t="shared" si="25" ref="D110:I110">D46-D98-D103</f>
        <v>10536</v>
      </c>
      <c r="E110" s="124">
        <f t="shared" si="25"/>
        <v>-34412</v>
      </c>
      <c r="F110" s="124">
        <f t="shared" si="25"/>
        <v>70039</v>
      </c>
      <c r="G110" s="124">
        <f t="shared" si="25"/>
        <v>-5431</v>
      </c>
      <c r="H110" s="124">
        <f t="shared" si="25"/>
        <v>1838</v>
      </c>
      <c r="I110" s="124">
        <f t="shared" si="25"/>
        <v>11369</v>
      </c>
      <c r="J110" s="124">
        <f>SUM(D110:I110)</f>
        <v>53939</v>
      </c>
      <c r="K110" s="16"/>
      <c r="L110" s="17"/>
    </row>
    <row r="111" spans="2:12" ht="15">
      <c r="B111" s="123"/>
      <c r="C111" s="14" t="s">
        <v>136</v>
      </c>
      <c r="D111" s="124">
        <f aca="true" t="shared" si="26" ref="D111:J111">D8-D26</f>
        <v>0</v>
      </c>
      <c r="E111" s="124">
        <f t="shared" si="26"/>
        <v>0</v>
      </c>
      <c r="F111" s="124">
        <f t="shared" si="26"/>
        <v>0</v>
      </c>
      <c r="G111" s="124">
        <f t="shared" si="26"/>
        <v>0</v>
      </c>
      <c r="H111" s="124">
        <f t="shared" si="26"/>
        <v>0</v>
      </c>
      <c r="I111" s="124">
        <f t="shared" si="26"/>
        <v>0</v>
      </c>
      <c r="J111" s="124">
        <f t="shared" si="26"/>
        <v>0</v>
      </c>
      <c r="K111" s="16"/>
      <c r="L111" s="17"/>
    </row>
    <row r="112" spans="2:12" ht="15">
      <c r="B112" s="131"/>
      <c r="C112" s="132"/>
      <c r="D112" s="133"/>
      <c r="E112" s="133"/>
      <c r="F112" s="133"/>
      <c r="G112" s="133"/>
      <c r="H112" s="133"/>
      <c r="I112" s="133"/>
      <c r="J112" s="133"/>
      <c r="K112" s="27"/>
      <c r="L112" s="28"/>
    </row>
    <row r="113" spans="2:12" ht="15">
      <c r="B113" s="1" t="s">
        <v>137</v>
      </c>
      <c r="D113" s="133"/>
      <c r="E113" s="133"/>
      <c r="F113" s="133"/>
      <c r="G113" s="133"/>
      <c r="H113" s="133"/>
      <c r="I113" s="133"/>
      <c r="J113" s="133"/>
      <c r="K113" s="27"/>
      <c r="L113" s="28"/>
    </row>
    <row r="114" spans="2:12" ht="15">
      <c r="B114" s="131">
        <v>1</v>
      </c>
      <c r="C114" s="132" t="s">
        <v>138</v>
      </c>
      <c r="D114" s="133"/>
      <c r="E114" s="133"/>
      <c r="F114" s="133"/>
      <c r="G114" s="133"/>
      <c r="H114" s="133"/>
      <c r="I114" s="133"/>
      <c r="J114" s="133"/>
      <c r="K114" s="27"/>
      <c r="L114" s="28"/>
    </row>
    <row r="115" spans="2:12" ht="15">
      <c r="B115" s="131">
        <v>2</v>
      </c>
      <c r="C115" s="131" t="s">
        <v>139</v>
      </c>
      <c r="D115" s="133"/>
      <c r="E115" s="133"/>
      <c r="F115" s="133"/>
      <c r="G115" s="133"/>
      <c r="H115" s="133"/>
      <c r="I115" s="133"/>
      <c r="J115" s="133"/>
      <c r="K115" s="27"/>
      <c r="L115" s="28"/>
    </row>
    <row r="116" spans="2:12" ht="15" customHeight="1">
      <c r="B116" s="134">
        <v>3</v>
      </c>
      <c r="C116" s="322" t="s">
        <v>140</v>
      </c>
      <c r="D116" s="322"/>
      <c r="E116" s="322"/>
      <c r="F116" s="322"/>
      <c r="G116" s="322"/>
      <c r="H116" s="322"/>
      <c r="I116" s="322"/>
      <c r="J116" s="322"/>
      <c r="K116" s="27"/>
      <c r="L116" s="28"/>
    </row>
    <row r="117" spans="2:12" ht="15">
      <c r="B117" s="134"/>
      <c r="C117" s="322"/>
      <c r="D117" s="322"/>
      <c r="E117" s="322"/>
      <c r="F117" s="322"/>
      <c r="G117" s="322"/>
      <c r="H117" s="322"/>
      <c r="I117" s="322"/>
      <c r="J117" s="322"/>
      <c r="K117" s="27"/>
      <c r="L117" s="28"/>
    </row>
    <row r="118" spans="2:12" ht="15">
      <c r="B118" s="3">
        <v>4</v>
      </c>
      <c r="C118" s="62" t="s">
        <v>141</v>
      </c>
      <c r="D118" s="114"/>
      <c r="E118" s="114"/>
      <c r="F118" s="114"/>
      <c r="G118" s="114"/>
      <c r="H118" s="114"/>
      <c r="I118" s="114"/>
      <c r="J118" s="114"/>
      <c r="K118" s="65"/>
      <c r="L118" s="33"/>
    </row>
    <row r="119" spans="2:12" ht="15">
      <c r="B119" s="3">
        <v>5</v>
      </c>
      <c r="C119" s="62" t="s">
        <v>142</v>
      </c>
      <c r="D119" s="114"/>
      <c r="E119" s="114"/>
      <c r="F119" s="114"/>
      <c r="G119" s="114"/>
      <c r="H119" s="114"/>
      <c r="I119" s="114"/>
      <c r="J119" s="114"/>
      <c r="K119" s="65"/>
      <c r="L119" s="33"/>
    </row>
    <row r="120" spans="2:12" ht="15">
      <c r="B120" s="3">
        <v>6</v>
      </c>
      <c r="C120" s="62" t="s">
        <v>143</v>
      </c>
      <c r="D120" s="114"/>
      <c r="E120" s="114"/>
      <c r="F120" s="114"/>
      <c r="G120" s="114"/>
      <c r="H120" s="114"/>
      <c r="I120" s="114"/>
      <c r="J120" s="114"/>
      <c r="K120" s="65"/>
      <c r="L120" s="33"/>
    </row>
    <row r="121" spans="4:12" ht="15">
      <c r="D121" s="114"/>
      <c r="E121" s="114"/>
      <c r="F121" s="114"/>
      <c r="G121" s="114"/>
      <c r="H121" s="114"/>
      <c r="I121" s="114"/>
      <c r="J121" s="114"/>
      <c r="K121" s="65"/>
      <c r="L121" s="33"/>
    </row>
    <row r="122" spans="2:12" ht="15">
      <c r="B122" s="3" t="s">
        <v>144</v>
      </c>
      <c r="D122" s="114"/>
      <c r="E122" s="114"/>
      <c r="F122" s="114"/>
      <c r="G122" s="114"/>
      <c r="H122" s="114"/>
      <c r="I122" s="114"/>
      <c r="J122" s="114"/>
      <c r="K122" s="65"/>
      <c r="L122" s="33"/>
    </row>
    <row r="123" spans="4:12" ht="15">
      <c r="D123" s="114"/>
      <c r="E123" s="114"/>
      <c r="F123" s="114"/>
      <c r="G123" s="114"/>
      <c r="H123" s="114"/>
      <c r="I123" s="114"/>
      <c r="J123" s="114"/>
      <c r="K123" s="65"/>
      <c r="L123" s="33"/>
    </row>
    <row r="124" spans="2:12" ht="15">
      <c r="B124" s="123" t="s">
        <v>145</v>
      </c>
      <c r="C124" s="14"/>
      <c r="D124" s="66">
        <v>2019</v>
      </c>
      <c r="E124" s="66">
        <v>2020</v>
      </c>
      <c r="F124" s="66">
        <v>2021</v>
      </c>
      <c r="G124" s="66">
        <v>2022</v>
      </c>
      <c r="H124" s="66">
        <v>2023</v>
      </c>
      <c r="I124" s="66">
        <v>2024</v>
      </c>
      <c r="J124" s="66" t="s">
        <v>4</v>
      </c>
      <c r="K124" s="65"/>
      <c r="L124" s="33"/>
    </row>
    <row r="125" spans="1:12" s="47" customFormat="1" ht="15">
      <c r="A125" s="41"/>
      <c r="B125" s="135"/>
      <c r="C125" s="136"/>
      <c r="D125" s="137"/>
      <c r="E125" s="137"/>
      <c r="F125" s="137"/>
      <c r="G125" s="137"/>
      <c r="H125" s="137"/>
      <c r="I125" s="137"/>
      <c r="J125" s="137"/>
      <c r="K125" s="65"/>
      <c r="L125" s="138"/>
    </row>
    <row r="126" spans="1:12" s="47" customFormat="1" ht="15">
      <c r="A126" s="41"/>
      <c r="B126" s="139"/>
      <c r="C126" s="140" t="s">
        <v>146</v>
      </c>
      <c r="D126" s="141"/>
      <c r="E126" s="141"/>
      <c r="F126" s="141"/>
      <c r="G126" s="141"/>
      <c r="H126" s="141"/>
      <c r="I126" s="141"/>
      <c r="J126" s="141"/>
      <c r="K126" s="65"/>
      <c r="L126" s="138"/>
    </row>
    <row r="127" spans="2:13" ht="15">
      <c r="B127" s="18">
        <v>39782</v>
      </c>
      <c r="C127" s="68" t="s">
        <v>10</v>
      </c>
      <c r="D127" s="142">
        <f>(29440000-500000)/2+500000</f>
        <v>14970000</v>
      </c>
      <c r="E127" s="142">
        <f>(29440000-500000)/2</f>
        <v>14470000</v>
      </c>
      <c r="F127" s="142">
        <v>11425627</v>
      </c>
      <c r="G127" s="142">
        <v>7425627</v>
      </c>
      <c r="H127" s="142">
        <v>6141547</v>
      </c>
      <c r="I127" s="142">
        <v>4041547</v>
      </c>
      <c r="J127" s="142">
        <f>SUM(D127:I127)</f>
        <v>58474348</v>
      </c>
      <c r="K127" s="65"/>
      <c r="L127" s="33"/>
      <c r="M127" t="s">
        <v>147</v>
      </c>
    </row>
    <row r="128" spans="2:12" ht="15">
      <c r="B128"/>
      <c r="C128" s="3"/>
      <c r="D128" s="114"/>
      <c r="E128" s="114"/>
      <c r="F128" s="114"/>
      <c r="G128" s="114"/>
      <c r="H128" s="114"/>
      <c r="I128" s="114"/>
      <c r="J128" s="114"/>
      <c r="K128" s="65"/>
      <c r="L128" s="33"/>
    </row>
    <row r="129" spans="2:12" ht="15">
      <c r="B129" s="143"/>
      <c r="C129" s="144" t="s">
        <v>148</v>
      </c>
      <c r="D129" s="145"/>
      <c r="E129" s="145"/>
      <c r="F129" s="145"/>
      <c r="G129" s="145"/>
      <c r="H129" s="145"/>
      <c r="I129" s="145"/>
      <c r="J129" s="145"/>
      <c r="K129" s="65"/>
      <c r="L129" s="33"/>
    </row>
    <row r="130" spans="2:13" ht="15">
      <c r="B130" s="18">
        <v>39789</v>
      </c>
      <c r="C130" s="14" t="s">
        <v>57</v>
      </c>
      <c r="D130" s="124">
        <v>1747000</v>
      </c>
      <c r="E130" s="124"/>
      <c r="F130" s="124">
        <v>1747000</v>
      </c>
      <c r="G130" s="124"/>
      <c r="H130" s="124">
        <v>1747000</v>
      </c>
      <c r="I130" s="124"/>
      <c r="J130" s="142">
        <f aca="true" t="shared" si="27" ref="J130:J135">SUM(D130:I130)</f>
        <v>5241000</v>
      </c>
      <c r="K130" s="65"/>
      <c r="L130" s="33"/>
      <c r="M130" t="s">
        <v>149</v>
      </c>
    </row>
    <row r="131" spans="2:13" ht="15">
      <c r="B131" s="18">
        <v>39789</v>
      </c>
      <c r="C131" s="14" t="s">
        <v>150</v>
      </c>
      <c r="D131" s="124">
        <v>1800000</v>
      </c>
      <c r="E131" s="124"/>
      <c r="F131" s="124"/>
      <c r="G131" s="124"/>
      <c r="H131" s="124"/>
      <c r="I131" s="124"/>
      <c r="J131" s="142">
        <f t="shared" si="27"/>
        <v>1800000</v>
      </c>
      <c r="K131" s="65"/>
      <c r="L131" s="33"/>
      <c r="M131" t="s">
        <v>151</v>
      </c>
    </row>
    <row r="132" spans="2:13" ht="15">
      <c r="B132" s="18">
        <v>39789</v>
      </c>
      <c r="C132" s="14" t="s">
        <v>152</v>
      </c>
      <c r="D132" s="124">
        <v>1500000</v>
      </c>
      <c r="E132" s="124"/>
      <c r="F132" s="124"/>
      <c r="G132" s="124"/>
      <c r="H132" s="124"/>
      <c r="I132" s="124"/>
      <c r="J132" s="142">
        <f t="shared" si="27"/>
        <v>1500000</v>
      </c>
      <c r="K132" s="65"/>
      <c r="L132" s="33"/>
      <c r="M132" t="s">
        <v>153</v>
      </c>
    </row>
    <row r="133" spans="2:13" ht="15">
      <c r="B133" s="18">
        <v>39789</v>
      </c>
      <c r="C133" s="14" t="s">
        <v>154</v>
      </c>
      <c r="D133" s="124">
        <v>1147000</v>
      </c>
      <c r="E133" s="124"/>
      <c r="F133" s="124"/>
      <c r="G133" s="124"/>
      <c r="H133" s="124"/>
      <c r="I133" s="124"/>
      <c r="J133" s="142">
        <f t="shared" si="27"/>
        <v>1147000</v>
      </c>
      <c r="K133" s="65"/>
      <c r="L133" s="33"/>
      <c r="M133" t="s">
        <v>155</v>
      </c>
    </row>
    <row r="134" spans="2:13" ht="15">
      <c r="B134" s="18">
        <v>39789</v>
      </c>
      <c r="C134" s="14" t="s">
        <v>156</v>
      </c>
      <c r="D134" s="124">
        <v>500000</v>
      </c>
      <c r="E134" s="124"/>
      <c r="F134" s="124"/>
      <c r="G134" s="124"/>
      <c r="H134" s="124"/>
      <c r="I134" s="124"/>
      <c r="J134" s="142">
        <f t="shared" si="27"/>
        <v>500000</v>
      </c>
      <c r="K134" s="65"/>
      <c r="L134" s="33"/>
      <c r="M134" t="s">
        <v>157</v>
      </c>
    </row>
    <row r="135" spans="2:13" ht="15">
      <c r="B135" s="18">
        <v>39789</v>
      </c>
      <c r="C135" s="14" t="s">
        <v>158</v>
      </c>
      <c r="D135" s="124"/>
      <c r="E135" s="124"/>
      <c r="F135" s="124"/>
      <c r="G135" s="124"/>
      <c r="H135" s="124">
        <f>1080000/2</f>
        <v>540000</v>
      </c>
      <c r="I135" s="124">
        <f>1080000/2</f>
        <v>540000</v>
      </c>
      <c r="J135" s="142">
        <f t="shared" si="27"/>
        <v>1080000</v>
      </c>
      <c r="K135" s="65"/>
      <c r="L135" s="33"/>
      <c r="M135" t="s">
        <v>159</v>
      </c>
    </row>
    <row r="136" spans="2:12" ht="15">
      <c r="B136" s="123"/>
      <c r="C136" s="14" t="s">
        <v>160</v>
      </c>
      <c r="D136" s="142">
        <f>SUM(D130:D135)</f>
        <v>6694000</v>
      </c>
      <c r="E136" s="142">
        <f aca="true" t="shared" si="28" ref="E136:J136">SUM(E130:E135)</f>
        <v>0</v>
      </c>
      <c r="F136" s="142">
        <f t="shared" si="28"/>
        <v>1747000</v>
      </c>
      <c r="G136" s="142">
        <f t="shared" si="28"/>
        <v>0</v>
      </c>
      <c r="H136" s="142">
        <f t="shared" si="28"/>
        <v>2287000</v>
      </c>
      <c r="I136" s="142">
        <f t="shared" si="28"/>
        <v>540000</v>
      </c>
      <c r="J136" s="142">
        <f t="shared" si="28"/>
        <v>11268000</v>
      </c>
      <c r="K136" s="65"/>
      <c r="L136" s="33"/>
    </row>
    <row r="137" spans="4:12" ht="15">
      <c r="D137" s="114"/>
      <c r="E137" s="114"/>
      <c r="F137" s="114"/>
      <c r="G137" s="114"/>
      <c r="H137" s="114"/>
      <c r="I137" s="114"/>
      <c r="J137" s="114"/>
      <c r="K137" s="65"/>
      <c r="L137" s="33"/>
    </row>
    <row r="138" spans="2:12" ht="15">
      <c r="B138" s="143"/>
      <c r="C138" s="144" t="s">
        <v>161</v>
      </c>
      <c r="D138" s="145"/>
      <c r="E138" s="145"/>
      <c r="F138" s="145"/>
      <c r="G138" s="145"/>
      <c r="H138" s="145"/>
      <c r="I138" s="145"/>
      <c r="J138" s="145"/>
      <c r="K138" s="65"/>
      <c r="L138" s="33"/>
    </row>
    <row r="139" spans="2:13" ht="15">
      <c r="B139" s="18">
        <v>39721</v>
      </c>
      <c r="C139" s="68" t="s">
        <v>162</v>
      </c>
      <c r="D139" s="124">
        <f>3700000/2</f>
        <v>1850000</v>
      </c>
      <c r="E139" s="124">
        <f>3700000/2</f>
        <v>1850000</v>
      </c>
      <c r="F139" s="124">
        <f>3000000/2</f>
        <v>1500000</v>
      </c>
      <c r="G139" s="124">
        <f>3000000/2</f>
        <v>1500000</v>
      </c>
      <c r="H139" s="124">
        <f>1500000/2</f>
        <v>750000</v>
      </c>
      <c r="I139" s="124">
        <f>1500000/2</f>
        <v>750000</v>
      </c>
      <c r="J139" s="142">
        <f aca="true" t="shared" si="29" ref="J139:J146">SUM(D139:I139)</f>
        <v>8200000</v>
      </c>
      <c r="K139" s="65"/>
      <c r="L139" s="33"/>
      <c r="M139" t="s">
        <v>163</v>
      </c>
    </row>
    <row r="140" spans="2:13" ht="15">
      <c r="B140" s="323">
        <v>39721</v>
      </c>
      <c r="C140" s="324" t="s">
        <v>164</v>
      </c>
      <c r="D140" s="124">
        <v>500000</v>
      </c>
      <c r="E140" s="124"/>
      <c r="F140" s="124"/>
      <c r="G140" s="124"/>
      <c r="H140" s="124"/>
      <c r="I140" s="124"/>
      <c r="J140" s="142">
        <f t="shared" si="29"/>
        <v>500000</v>
      </c>
      <c r="K140" s="65"/>
      <c r="L140" s="33"/>
      <c r="M140" s="146" t="s">
        <v>165</v>
      </c>
    </row>
    <row r="141" spans="2:13" ht="30">
      <c r="B141" s="323"/>
      <c r="C141" s="324"/>
      <c r="D141" s="124">
        <f>+(1700000/2)-D140</f>
        <v>350000</v>
      </c>
      <c r="E141" s="124">
        <f>1700000/2</f>
        <v>850000</v>
      </c>
      <c r="F141" s="124">
        <f>1600000/2</f>
        <v>800000</v>
      </c>
      <c r="G141" s="124">
        <f>1600000/2</f>
        <v>800000</v>
      </c>
      <c r="H141" s="124">
        <f>1500000/2</f>
        <v>750000</v>
      </c>
      <c r="I141" s="124">
        <f>1500000/2</f>
        <v>750000</v>
      </c>
      <c r="J141" s="142">
        <f t="shared" si="29"/>
        <v>4300000</v>
      </c>
      <c r="K141" s="65"/>
      <c r="L141" s="33"/>
      <c r="M141" s="147" t="s">
        <v>166</v>
      </c>
    </row>
    <row r="142" spans="2:13" ht="30">
      <c r="B142" s="18">
        <v>39721</v>
      </c>
      <c r="C142" s="68" t="s">
        <v>167</v>
      </c>
      <c r="D142" s="124">
        <f>900000/2</f>
        <v>450000</v>
      </c>
      <c r="E142" s="124">
        <f>900000/2</f>
        <v>450000</v>
      </c>
      <c r="F142" s="124">
        <f>900000/2</f>
        <v>450000</v>
      </c>
      <c r="G142" s="124">
        <f>900000/2</f>
        <v>450000</v>
      </c>
      <c r="H142" s="124">
        <f>800000/2</f>
        <v>400000</v>
      </c>
      <c r="I142" s="124">
        <f>800000/2</f>
        <v>400000</v>
      </c>
      <c r="J142" s="142">
        <f t="shared" si="29"/>
        <v>2600000</v>
      </c>
      <c r="K142" s="65"/>
      <c r="L142" s="33"/>
      <c r="M142" s="33" t="s">
        <v>168</v>
      </c>
    </row>
    <row r="143" spans="2:13" ht="15">
      <c r="B143" s="123"/>
      <c r="C143" s="82" t="s">
        <v>169</v>
      </c>
      <c r="D143" s="142">
        <f>SUM(D139:D142)</f>
        <v>3150000</v>
      </c>
      <c r="E143" s="142">
        <f aca="true" t="shared" si="30" ref="E143:I143">SUM(E139:E142)</f>
        <v>3150000</v>
      </c>
      <c r="F143" s="142">
        <f t="shared" si="30"/>
        <v>2750000</v>
      </c>
      <c r="G143" s="142">
        <f t="shared" si="30"/>
        <v>2750000</v>
      </c>
      <c r="H143" s="142">
        <f t="shared" si="30"/>
        <v>1900000</v>
      </c>
      <c r="I143" s="142">
        <f t="shared" si="30"/>
        <v>1900000</v>
      </c>
      <c r="J143" s="142">
        <f t="shared" si="29"/>
        <v>15600000</v>
      </c>
      <c r="K143" s="65"/>
      <c r="L143" s="33"/>
      <c r="M143" s="33" t="s">
        <v>170</v>
      </c>
    </row>
    <row r="144" spans="2:13" ht="15">
      <c r="B144" s="18">
        <v>39721</v>
      </c>
      <c r="C144" s="68" t="s">
        <v>162</v>
      </c>
      <c r="D144" s="124">
        <f>1922000/2</f>
        <v>961000</v>
      </c>
      <c r="E144" s="124">
        <f>1922000/2</f>
        <v>961000</v>
      </c>
      <c r="F144" s="124">
        <f>2930000/2</f>
        <v>1465000</v>
      </c>
      <c r="G144" s="124">
        <f>2930000/2</f>
        <v>1465000</v>
      </c>
      <c r="H144" s="124">
        <f>2900000/2</f>
        <v>1450000</v>
      </c>
      <c r="I144" s="124">
        <f>2900000/2</f>
        <v>1450000</v>
      </c>
      <c r="J144" s="142">
        <f t="shared" si="29"/>
        <v>7752000</v>
      </c>
      <c r="K144" s="65"/>
      <c r="L144" s="33"/>
      <c r="M144" s="148" t="s">
        <v>171</v>
      </c>
    </row>
    <row r="145" spans="2:13" ht="15">
      <c r="B145" s="123"/>
      <c r="C145" s="82" t="s">
        <v>172</v>
      </c>
      <c r="D145" s="142">
        <f>+D143+D144</f>
        <v>4111000</v>
      </c>
      <c r="E145" s="142">
        <f aca="true" t="shared" si="31" ref="E145:I145">+E143+E144</f>
        <v>4111000</v>
      </c>
      <c r="F145" s="142">
        <f t="shared" si="31"/>
        <v>4215000</v>
      </c>
      <c r="G145" s="142">
        <f t="shared" si="31"/>
        <v>4215000</v>
      </c>
      <c r="H145" s="142">
        <f t="shared" si="31"/>
        <v>3350000</v>
      </c>
      <c r="I145" s="142">
        <f t="shared" si="31"/>
        <v>3350000</v>
      </c>
      <c r="J145" s="142">
        <f t="shared" si="29"/>
        <v>23352000</v>
      </c>
      <c r="K145" s="65"/>
      <c r="L145" s="33"/>
      <c r="M145" s="33" t="s">
        <v>170</v>
      </c>
    </row>
    <row r="146" spans="2:12" ht="15">
      <c r="B146" s="123"/>
      <c r="C146" s="149" t="s">
        <v>173</v>
      </c>
      <c r="D146" s="124">
        <v>-500000</v>
      </c>
      <c r="E146" s="124"/>
      <c r="F146" s="124"/>
      <c r="G146" s="124"/>
      <c r="H146" s="124"/>
      <c r="I146" s="124"/>
      <c r="J146" s="142">
        <f t="shared" si="29"/>
        <v>-500000</v>
      </c>
      <c r="K146" s="65"/>
      <c r="L146" s="33"/>
    </row>
    <row r="147" spans="2:12" ht="15">
      <c r="B147" s="123"/>
      <c r="C147" s="14" t="s">
        <v>174</v>
      </c>
      <c r="D147" s="142">
        <f>+D145+D146</f>
        <v>3611000</v>
      </c>
      <c r="E147" s="142">
        <f aca="true" t="shared" si="32" ref="E147:J147">+E145+E146</f>
        <v>4111000</v>
      </c>
      <c r="F147" s="142">
        <f t="shared" si="32"/>
        <v>4215000</v>
      </c>
      <c r="G147" s="142">
        <f t="shared" si="32"/>
        <v>4215000</v>
      </c>
      <c r="H147" s="142">
        <f t="shared" si="32"/>
        <v>3350000</v>
      </c>
      <c r="I147" s="142">
        <f t="shared" si="32"/>
        <v>3350000</v>
      </c>
      <c r="J147" s="142">
        <f t="shared" si="32"/>
        <v>22852000</v>
      </c>
      <c r="K147" s="65"/>
      <c r="L147" s="33"/>
    </row>
    <row r="148" spans="3:12" ht="15">
      <c r="C148"/>
      <c r="D148" s="114"/>
      <c r="E148" s="114"/>
      <c r="F148" s="114"/>
      <c r="G148" s="114"/>
      <c r="H148" s="114"/>
      <c r="I148" s="114"/>
      <c r="J148" s="114"/>
      <c r="K148" s="65"/>
      <c r="L148" s="33"/>
    </row>
    <row r="149" spans="2:12" ht="15">
      <c r="B149" s="143"/>
      <c r="C149" s="144" t="s">
        <v>175</v>
      </c>
      <c r="D149" s="145"/>
      <c r="E149" s="145"/>
      <c r="F149" s="145"/>
      <c r="G149" s="145"/>
      <c r="H149" s="145"/>
      <c r="I149" s="145"/>
      <c r="J149" s="145"/>
      <c r="K149" s="65"/>
      <c r="L149" s="33"/>
    </row>
    <row r="150" spans="2:13" ht="15">
      <c r="B150" s="18">
        <v>39113</v>
      </c>
      <c r="C150" s="68" t="s">
        <v>46</v>
      </c>
      <c r="D150" s="124"/>
      <c r="E150" s="124"/>
      <c r="F150" s="124"/>
      <c r="G150" s="124">
        <v>552500</v>
      </c>
      <c r="H150" s="124"/>
      <c r="I150" s="124">
        <v>12096400</v>
      </c>
      <c r="J150" s="142">
        <f aca="true" t="shared" si="33" ref="J150:J151">SUM(D150:I150)</f>
        <v>12648900</v>
      </c>
      <c r="K150" s="65"/>
      <c r="L150" s="33"/>
      <c r="M150" t="s">
        <v>176</v>
      </c>
    </row>
    <row r="151" spans="2:13" ht="15">
      <c r="B151" s="18">
        <v>39113</v>
      </c>
      <c r="C151" s="68" t="s">
        <v>46</v>
      </c>
      <c r="D151" s="124"/>
      <c r="E151" s="124"/>
      <c r="F151" s="124"/>
      <c r="G151" s="124">
        <v>569942</v>
      </c>
      <c r="H151" s="124">
        <v>529291</v>
      </c>
      <c r="I151" s="124">
        <v>604822</v>
      </c>
      <c r="J151" s="142">
        <f t="shared" si="33"/>
        <v>1704055</v>
      </c>
      <c r="K151" s="65"/>
      <c r="L151" s="33"/>
      <c r="M151" s="47" t="s">
        <v>177</v>
      </c>
    </row>
    <row r="152" spans="4:12" ht="15">
      <c r="D152" s="114"/>
      <c r="E152" s="114"/>
      <c r="F152" s="114"/>
      <c r="G152" s="114"/>
      <c r="H152" s="114"/>
      <c r="I152" s="114"/>
      <c r="J152" s="114"/>
      <c r="K152" s="65"/>
      <c r="L152" s="33"/>
    </row>
    <row r="153" spans="2:12" ht="15">
      <c r="B153" s="150"/>
      <c r="C153" s="140" t="s">
        <v>178</v>
      </c>
      <c r="D153" s="151"/>
      <c r="E153" s="151"/>
      <c r="F153" s="151"/>
      <c r="G153" s="151"/>
      <c r="H153" s="151"/>
      <c r="I153" s="151"/>
      <c r="J153" s="152"/>
      <c r="K153" s="65"/>
      <c r="L153" s="33"/>
    </row>
    <row r="154" spans="2:12" ht="15">
      <c r="B154" s="153" t="s">
        <v>179</v>
      </c>
      <c r="C154" s="89" t="s">
        <v>180</v>
      </c>
      <c r="D154" s="15">
        <v>-2129705</v>
      </c>
      <c r="E154" s="15"/>
      <c r="F154" s="15"/>
      <c r="G154" s="15"/>
      <c r="H154" s="15"/>
      <c r="I154" s="15"/>
      <c r="J154" s="154">
        <f aca="true" t="shared" si="34" ref="J154:J157">SUM(D154:I154)</f>
        <v>-2129705</v>
      </c>
      <c r="K154" s="65"/>
      <c r="L154" s="33"/>
    </row>
    <row r="155" spans="2:12" ht="15">
      <c r="B155" s="153" t="s">
        <v>179</v>
      </c>
      <c r="C155" s="89" t="s">
        <v>181</v>
      </c>
      <c r="D155" s="15">
        <v>-20721</v>
      </c>
      <c r="E155" s="15"/>
      <c r="F155" s="15"/>
      <c r="G155" s="15"/>
      <c r="H155" s="15"/>
      <c r="I155" s="15"/>
      <c r="J155" s="154">
        <f t="shared" si="34"/>
        <v>-20721</v>
      </c>
      <c r="K155" s="65"/>
      <c r="L155" s="33"/>
    </row>
    <row r="156" spans="2:12" ht="15">
      <c r="B156" s="153" t="s">
        <v>182</v>
      </c>
      <c r="C156" s="89" t="s">
        <v>183</v>
      </c>
      <c r="D156" s="15"/>
      <c r="E156" s="15"/>
      <c r="F156" s="15"/>
      <c r="G156" s="15"/>
      <c r="H156" s="15"/>
      <c r="I156" s="15"/>
      <c r="J156" s="154">
        <f t="shared" si="34"/>
        <v>0</v>
      </c>
      <c r="K156" s="65"/>
      <c r="L156" s="33"/>
    </row>
    <row r="157" spans="2:12" ht="15">
      <c r="B157" s="153" t="s">
        <v>182</v>
      </c>
      <c r="C157" s="89" t="s">
        <v>184</v>
      </c>
      <c r="D157" s="15">
        <v>-1000000</v>
      </c>
      <c r="E157" s="15"/>
      <c r="F157" s="15"/>
      <c r="G157" s="15"/>
      <c r="H157" s="15"/>
      <c r="I157" s="15"/>
      <c r="J157" s="154">
        <f t="shared" si="34"/>
        <v>-1000000</v>
      </c>
      <c r="K157" s="65"/>
      <c r="L157" s="33"/>
    </row>
    <row r="158" spans="4:12" ht="15">
      <c r="D158" s="114"/>
      <c r="E158" s="114"/>
      <c r="F158" s="114"/>
      <c r="G158" s="114"/>
      <c r="H158" s="114"/>
      <c r="I158" s="114"/>
      <c r="J158" s="114"/>
      <c r="K158" s="65"/>
      <c r="L158" s="33"/>
    </row>
    <row r="159" spans="2:12" ht="15">
      <c r="B159" s="123" t="s">
        <v>185</v>
      </c>
      <c r="C159" s="14"/>
      <c r="D159" s="66">
        <v>2019</v>
      </c>
      <c r="E159" s="66">
        <v>2020</v>
      </c>
      <c r="F159" s="66">
        <v>2021</v>
      </c>
      <c r="G159" s="66">
        <v>2022</v>
      </c>
      <c r="H159" s="66">
        <v>2023</v>
      </c>
      <c r="I159" s="66">
        <v>2024</v>
      </c>
      <c r="J159" s="66" t="s">
        <v>4</v>
      </c>
      <c r="K159" s="65"/>
      <c r="L159" s="33"/>
    </row>
    <row r="160" spans="4:12" ht="15">
      <c r="D160" s="114"/>
      <c r="E160" s="114"/>
      <c r="F160" s="114"/>
      <c r="G160" s="114"/>
      <c r="H160" s="114"/>
      <c r="I160" s="114"/>
      <c r="J160" s="114"/>
      <c r="K160" s="65"/>
      <c r="L160" s="33"/>
    </row>
    <row r="161" spans="2:12" ht="15">
      <c r="B161" s="155"/>
      <c r="C161" s="156" t="s">
        <v>186</v>
      </c>
      <c r="D161" s="127"/>
      <c r="E161" s="127"/>
      <c r="F161" s="127"/>
      <c r="G161" s="127"/>
      <c r="H161" s="127"/>
      <c r="I161" s="127"/>
      <c r="J161" s="157"/>
      <c r="K161" s="65"/>
      <c r="L161" s="33"/>
    </row>
    <row r="162" spans="4:12" ht="15">
      <c r="D162" s="114"/>
      <c r="E162" s="114"/>
      <c r="F162" s="114"/>
      <c r="G162" s="114"/>
      <c r="H162" s="114"/>
      <c r="I162" s="114"/>
      <c r="J162" s="114"/>
      <c r="K162" s="65"/>
      <c r="L162" s="33"/>
    </row>
    <row r="163" spans="2:12" ht="15">
      <c r="B163" s="158">
        <v>1129586</v>
      </c>
      <c r="C163" s="143" t="s">
        <v>187</v>
      </c>
      <c r="D163" s="145"/>
      <c r="E163" s="145"/>
      <c r="F163" s="145"/>
      <c r="G163" s="145"/>
      <c r="H163" s="145"/>
      <c r="I163" s="145"/>
      <c r="J163" s="145"/>
      <c r="K163" s="65"/>
      <c r="L163" s="33"/>
    </row>
    <row r="164" spans="2:12" ht="15">
      <c r="B164" s="18">
        <v>39721</v>
      </c>
      <c r="C164" s="68" t="s">
        <v>162</v>
      </c>
      <c r="D164" s="124">
        <f aca="true" t="shared" si="35" ref="D164:I164">+D139</f>
        <v>1850000</v>
      </c>
      <c r="E164" s="124">
        <f t="shared" si="35"/>
        <v>1850000</v>
      </c>
      <c r="F164" s="124">
        <f t="shared" si="35"/>
        <v>1500000</v>
      </c>
      <c r="G164" s="124">
        <f t="shared" si="35"/>
        <v>1500000</v>
      </c>
      <c r="H164" s="124">
        <f t="shared" si="35"/>
        <v>750000</v>
      </c>
      <c r="I164" s="124">
        <f t="shared" si="35"/>
        <v>750000</v>
      </c>
      <c r="J164" s="142">
        <f aca="true" t="shared" si="36" ref="J164:J167">SUM(D164:I164)</f>
        <v>8200000</v>
      </c>
      <c r="K164" s="65"/>
      <c r="L164" s="33"/>
    </row>
    <row r="165" spans="2:13" ht="15">
      <c r="B165" s="18">
        <v>39782</v>
      </c>
      <c r="C165" s="14" t="s">
        <v>10</v>
      </c>
      <c r="D165" s="124">
        <f aca="true" t="shared" si="37" ref="D165:I165">+D57-D164-D166-D167</f>
        <v>1300000</v>
      </c>
      <c r="E165" s="124">
        <f t="shared" si="37"/>
        <v>800000</v>
      </c>
      <c r="F165" s="124">
        <f t="shared" si="37"/>
        <v>800000</v>
      </c>
      <c r="G165" s="124">
        <f t="shared" si="37"/>
        <v>450000</v>
      </c>
      <c r="H165" s="124">
        <f t="shared" si="37"/>
        <v>503000</v>
      </c>
      <c r="I165" s="124">
        <f t="shared" si="37"/>
        <v>1050000</v>
      </c>
      <c r="J165" s="142">
        <f t="shared" si="36"/>
        <v>4903000</v>
      </c>
      <c r="K165" s="65"/>
      <c r="L165" s="33"/>
      <c r="M165" t="s">
        <v>188</v>
      </c>
    </row>
    <row r="166" spans="2:13" ht="15">
      <c r="B166" s="18">
        <v>39789</v>
      </c>
      <c r="C166" s="14" t="s">
        <v>57</v>
      </c>
      <c r="D166" s="124"/>
      <c r="E166" s="124"/>
      <c r="F166" s="124"/>
      <c r="G166" s="124"/>
      <c r="H166" s="124">
        <f>+H130-H54</f>
        <v>747000</v>
      </c>
      <c r="I166" s="124"/>
      <c r="J166" s="142">
        <f t="shared" si="36"/>
        <v>747000</v>
      </c>
      <c r="K166" s="65"/>
      <c r="L166" s="33"/>
      <c r="M166" t="s">
        <v>189</v>
      </c>
    </row>
    <row r="167" spans="2:12" ht="15">
      <c r="B167" s="18">
        <v>43367</v>
      </c>
      <c r="C167" s="14" t="s">
        <v>58</v>
      </c>
      <c r="D167" s="124"/>
      <c r="E167" s="124"/>
      <c r="F167" s="124"/>
      <c r="G167" s="124">
        <f>+G42</f>
        <v>350000</v>
      </c>
      <c r="H167" s="124"/>
      <c r="I167" s="124"/>
      <c r="J167" s="142">
        <f t="shared" si="36"/>
        <v>350000</v>
      </c>
      <c r="K167" s="65"/>
      <c r="L167" s="33"/>
    </row>
    <row r="168" spans="2:12" ht="15">
      <c r="B168" s="18"/>
      <c r="C168" s="79" t="s">
        <v>190</v>
      </c>
      <c r="D168" s="142">
        <f>SUM(D164:D167)</f>
        <v>3150000</v>
      </c>
      <c r="E168" s="142">
        <f aca="true" t="shared" si="38" ref="E168:J168">SUM(E164:E167)</f>
        <v>2650000</v>
      </c>
      <c r="F168" s="142">
        <f t="shared" si="38"/>
        <v>2300000</v>
      </c>
      <c r="G168" s="142">
        <f t="shared" si="38"/>
        <v>2300000</v>
      </c>
      <c r="H168" s="142">
        <f t="shared" si="38"/>
        <v>2000000</v>
      </c>
      <c r="I168" s="142">
        <f t="shared" si="38"/>
        <v>1800000</v>
      </c>
      <c r="J168" s="142">
        <f t="shared" si="38"/>
        <v>14200000</v>
      </c>
      <c r="K168" s="65"/>
      <c r="L168" s="33"/>
    </row>
    <row r="169" spans="2:12" ht="15">
      <c r="B169" s="159"/>
      <c r="C169" s="160"/>
      <c r="D169" s="161"/>
      <c r="E169" s="161"/>
      <c r="F169" s="161"/>
      <c r="G169" s="161"/>
      <c r="H169" s="161"/>
      <c r="I169" s="161"/>
      <c r="J169" s="161"/>
      <c r="K169" s="65"/>
      <c r="L169" s="33"/>
    </row>
    <row r="170" spans="1:12" s="47" customFormat="1" ht="15">
      <c r="A170" s="41"/>
      <c r="B170" s="102"/>
      <c r="C170" s="156" t="s">
        <v>191</v>
      </c>
      <c r="D170" s="128"/>
      <c r="E170" s="128"/>
      <c r="F170" s="128"/>
      <c r="G170" s="128"/>
      <c r="H170" s="128"/>
      <c r="I170" s="128"/>
      <c r="J170" s="86"/>
      <c r="K170" s="65"/>
      <c r="L170" s="138"/>
    </row>
    <row r="171" spans="1:12" s="47" customFormat="1" ht="15">
      <c r="A171" s="41"/>
      <c r="B171" s="159"/>
      <c r="C171" s="162"/>
      <c r="D171" s="65"/>
      <c r="E171" s="65"/>
      <c r="F171" s="65"/>
      <c r="G171" s="65"/>
      <c r="H171" s="65"/>
      <c r="I171" s="65"/>
      <c r="J171" s="65"/>
      <c r="K171" s="65"/>
      <c r="L171" s="138"/>
    </row>
    <row r="172" spans="1:12" s="47" customFormat="1" ht="15.75" customHeight="1">
      <c r="A172" s="41"/>
      <c r="B172" s="163"/>
      <c r="C172" s="164" t="s">
        <v>192</v>
      </c>
      <c r="D172" s="165"/>
      <c r="E172" s="165"/>
      <c r="F172" s="165"/>
      <c r="G172" s="165"/>
      <c r="H172" s="165"/>
      <c r="I172" s="165"/>
      <c r="J172" s="145"/>
      <c r="K172" s="65"/>
      <c r="L172" s="138"/>
    </row>
    <row r="173" spans="1:12" s="47" customFormat="1" ht="15.75" customHeight="1">
      <c r="A173" s="41"/>
      <c r="B173" s="166">
        <v>1129586</v>
      </c>
      <c r="C173" s="167" t="s">
        <v>72</v>
      </c>
      <c r="D173" s="168">
        <f>+'[1]Original 6-29-2018a'!D57</f>
        <v>3500000</v>
      </c>
      <c r="E173" s="168">
        <f>+'[1]Original 6-29-2018a'!E57</f>
        <v>3500000</v>
      </c>
      <c r="F173" s="16">
        <f>+'[1]Original 6-29-2018a'!F57</f>
        <v>3100000</v>
      </c>
      <c r="G173" s="16">
        <f>+'[1]Original 6-29-2018a'!G57</f>
        <v>3500000</v>
      </c>
      <c r="H173" s="16">
        <f>+'[1]Original 6-29-2018a'!H57</f>
        <v>2350000</v>
      </c>
      <c r="I173" s="16">
        <f>+'[1]Original 6-29-2018a'!I57</f>
        <v>2350000</v>
      </c>
      <c r="J173" s="16"/>
      <c r="K173" s="65"/>
      <c r="L173" s="138"/>
    </row>
    <row r="174" spans="1:12" s="47" customFormat="1" ht="15">
      <c r="A174" s="41"/>
      <c r="B174" s="159"/>
      <c r="C174" s="160"/>
      <c r="D174" s="65"/>
      <c r="E174" s="65"/>
      <c r="F174" s="65"/>
      <c r="G174" s="65"/>
      <c r="H174" s="65"/>
      <c r="I174" s="65"/>
      <c r="J174" s="65"/>
      <c r="K174" s="65"/>
      <c r="L174" s="138"/>
    </row>
    <row r="175" spans="1:12" s="47" customFormat="1" ht="15">
      <c r="A175" s="41"/>
      <c r="B175" s="163"/>
      <c r="C175" s="164" t="s">
        <v>193</v>
      </c>
      <c r="D175" s="145"/>
      <c r="E175" s="145"/>
      <c r="F175" s="145"/>
      <c r="G175" s="145"/>
      <c r="H175" s="145"/>
      <c r="I175" s="145"/>
      <c r="J175" s="145"/>
      <c r="K175" s="65"/>
      <c r="L175" s="138"/>
    </row>
    <row r="176" spans="1:12" s="47" customFormat="1" ht="15">
      <c r="A176" s="41"/>
      <c r="B176" s="166">
        <v>1129586</v>
      </c>
      <c r="C176" s="167" t="s">
        <v>72</v>
      </c>
      <c r="D176" s="16">
        <f>+D168</f>
        <v>3150000</v>
      </c>
      <c r="E176" s="16">
        <f aca="true" t="shared" si="39" ref="E176:I176">+E168</f>
        <v>2650000</v>
      </c>
      <c r="F176" s="16">
        <f t="shared" si="39"/>
        <v>2300000</v>
      </c>
      <c r="G176" s="16">
        <f t="shared" si="39"/>
        <v>2300000</v>
      </c>
      <c r="H176" s="16">
        <f t="shared" si="39"/>
        <v>2000000</v>
      </c>
      <c r="I176" s="16">
        <f t="shared" si="39"/>
        <v>1800000</v>
      </c>
      <c r="J176" s="142">
        <f aca="true" t="shared" si="40" ref="J176:J177">SUM(D176:I176)</f>
        <v>14200000</v>
      </c>
      <c r="K176" s="65"/>
      <c r="L176" s="138"/>
    </row>
    <row r="177" spans="1:12" s="47" customFormat="1" ht="15">
      <c r="A177" s="41"/>
      <c r="B177" s="166">
        <v>1135045</v>
      </c>
      <c r="C177" s="169" t="s">
        <v>194</v>
      </c>
      <c r="D177" s="16">
        <f>+D141</f>
        <v>350000</v>
      </c>
      <c r="E177" s="16">
        <f aca="true" t="shared" si="41" ref="E177:I177">+E141</f>
        <v>850000</v>
      </c>
      <c r="F177" s="16">
        <f t="shared" si="41"/>
        <v>800000</v>
      </c>
      <c r="G177" s="16">
        <f t="shared" si="41"/>
        <v>800000</v>
      </c>
      <c r="H177" s="16">
        <f t="shared" si="41"/>
        <v>750000</v>
      </c>
      <c r="I177" s="16">
        <f t="shared" si="41"/>
        <v>750000</v>
      </c>
      <c r="J177" s="142">
        <f t="shared" si="40"/>
        <v>4300000</v>
      </c>
      <c r="K177" s="65"/>
      <c r="L177" s="138"/>
    </row>
    <row r="178" spans="1:12" s="47" customFormat="1" ht="15">
      <c r="A178" s="41"/>
      <c r="B178" s="166"/>
      <c r="C178" s="79" t="s">
        <v>4</v>
      </c>
      <c r="D178" s="170">
        <f>+D177+D176</f>
        <v>3500000</v>
      </c>
      <c r="E178" s="170">
        <f aca="true" t="shared" si="42" ref="E178:J178">+E177+E176</f>
        <v>3500000</v>
      </c>
      <c r="F178" s="75">
        <f t="shared" si="42"/>
        <v>3100000</v>
      </c>
      <c r="G178" s="75">
        <f t="shared" si="42"/>
        <v>3100000</v>
      </c>
      <c r="H178" s="75">
        <f t="shared" si="42"/>
        <v>2750000</v>
      </c>
      <c r="I178" s="75">
        <f t="shared" si="42"/>
        <v>2550000</v>
      </c>
      <c r="J178" s="75">
        <f t="shared" si="42"/>
        <v>18500000</v>
      </c>
      <c r="K178" s="65"/>
      <c r="L178" s="138"/>
    </row>
    <row r="179" spans="1:12" s="47" customFormat="1" ht="15">
      <c r="A179" s="41"/>
      <c r="B179" s="159"/>
      <c r="C179" s="160"/>
      <c r="D179" s="65"/>
      <c r="E179" s="65"/>
      <c r="F179" s="65"/>
      <c r="G179" s="65"/>
      <c r="H179" s="65"/>
      <c r="I179" s="65"/>
      <c r="J179" s="65"/>
      <c r="K179" s="65"/>
      <c r="L179" s="138"/>
    </row>
    <row r="180" spans="1:12" s="47" customFormat="1" ht="15">
      <c r="A180" s="41"/>
      <c r="B180" s="102"/>
      <c r="C180" s="171" t="s">
        <v>195</v>
      </c>
      <c r="D180" s="128"/>
      <c r="E180" s="128"/>
      <c r="F180" s="128"/>
      <c r="G180" s="128"/>
      <c r="H180" s="128"/>
      <c r="I180" s="128"/>
      <c r="J180" s="86"/>
      <c r="K180" s="65"/>
      <c r="L180" s="138"/>
    </row>
    <row r="181" spans="1:12" s="47" customFormat="1" ht="15">
      <c r="A181" s="41"/>
      <c r="B181" s="159"/>
      <c r="C181" s="160"/>
      <c r="D181" s="65"/>
      <c r="E181" s="65"/>
      <c r="F181" s="65"/>
      <c r="G181" s="65"/>
      <c r="H181" s="65"/>
      <c r="I181" s="65"/>
      <c r="J181" s="65"/>
      <c r="K181" s="65"/>
      <c r="L181" s="138"/>
    </row>
    <row r="182" spans="1:14" s="47" customFormat="1" ht="15">
      <c r="A182" s="41"/>
      <c r="B182" s="143">
        <v>1135045</v>
      </c>
      <c r="C182" s="144" t="s">
        <v>194</v>
      </c>
      <c r="D182" s="165"/>
      <c r="E182" s="165"/>
      <c r="F182" s="165"/>
      <c r="G182" s="165"/>
      <c r="H182" s="165"/>
      <c r="I182" s="165"/>
      <c r="J182" s="165"/>
      <c r="K182" s="65"/>
      <c r="L182" s="138"/>
      <c r="M182" s="172"/>
      <c r="N182" s="2"/>
    </row>
    <row r="183" spans="1:13" s="47" customFormat="1" ht="30">
      <c r="A183" s="41"/>
      <c r="B183" s="18">
        <v>39721</v>
      </c>
      <c r="C183" s="173" t="s">
        <v>196</v>
      </c>
      <c r="D183" s="16">
        <v>350000</v>
      </c>
      <c r="E183" s="16">
        <v>850000</v>
      </c>
      <c r="F183" s="16">
        <v>800000</v>
      </c>
      <c r="G183" s="16">
        <v>800000</v>
      </c>
      <c r="H183" s="16">
        <v>750000</v>
      </c>
      <c r="I183" s="16">
        <v>750000</v>
      </c>
      <c r="J183" s="142">
        <f aca="true" t="shared" si="43" ref="J183:J187">SUM(D183:I183)</f>
        <v>4300000</v>
      </c>
      <c r="K183" s="65"/>
      <c r="L183" s="138"/>
      <c r="M183" s="147" t="s">
        <v>166</v>
      </c>
    </row>
    <row r="184" spans="1:13" s="47" customFormat="1" ht="30">
      <c r="A184" s="41"/>
      <c r="B184" s="18">
        <v>39721</v>
      </c>
      <c r="C184" s="68" t="s">
        <v>167</v>
      </c>
      <c r="D184" s="16">
        <v>450000</v>
      </c>
      <c r="E184" s="16">
        <v>450000</v>
      </c>
      <c r="F184" s="16">
        <v>450000</v>
      </c>
      <c r="G184" s="16">
        <v>450000</v>
      </c>
      <c r="H184" s="16">
        <v>400000</v>
      </c>
      <c r="I184" s="16">
        <v>400000</v>
      </c>
      <c r="J184" s="142">
        <f t="shared" si="43"/>
        <v>2600000</v>
      </c>
      <c r="K184" s="65"/>
      <c r="L184" s="138"/>
      <c r="M184" s="33" t="s">
        <v>168</v>
      </c>
    </row>
    <row r="185" spans="1:13" s="47" customFormat="1" ht="15">
      <c r="A185" s="41"/>
      <c r="B185" s="18">
        <v>39721</v>
      </c>
      <c r="C185" s="68" t="s">
        <v>162</v>
      </c>
      <c r="D185" s="16">
        <v>961000</v>
      </c>
      <c r="E185" s="16">
        <v>961000</v>
      </c>
      <c r="F185" s="16">
        <v>1465000</v>
      </c>
      <c r="G185" s="16">
        <v>1465000</v>
      </c>
      <c r="H185" s="16">
        <v>1450000</v>
      </c>
      <c r="I185" s="16">
        <v>1450000</v>
      </c>
      <c r="J185" s="142">
        <f t="shared" si="43"/>
        <v>7752000</v>
      </c>
      <c r="K185" s="65"/>
      <c r="L185" s="138"/>
      <c r="M185" s="148" t="s">
        <v>171</v>
      </c>
    </row>
    <row r="186" spans="1:13" s="47" customFormat="1" ht="15">
      <c r="A186" s="41"/>
      <c r="B186" s="18">
        <v>39789</v>
      </c>
      <c r="C186" s="14" t="s">
        <v>156</v>
      </c>
      <c r="D186" s="16">
        <v>500000</v>
      </c>
      <c r="E186" s="16"/>
      <c r="F186" s="16"/>
      <c r="G186" s="16"/>
      <c r="H186" s="16"/>
      <c r="I186" s="16"/>
      <c r="J186" s="142">
        <f t="shared" si="43"/>
        <v>500000</v>
      </c>
      <c r="K186" s="65"/>
      <c r="L186" s="138"/>
      <c r="M186" t="s">
        <v>159</v>
      </c>
    </row>
    <row r="187" spans="1:13" s="47" customFormat="1" ht="15">
      <c r="A187" s="41"/>
      <c r="B187" s="18">
        <v>39789</v>
      </c>
      <c r="C187" s="14" t="s">
        <v>158</v>
      </c>
      <c r="D187" s="16"/>
      <c r="E187" s="16"/>
      <c r="F187" s="16"/>
      <c r="G187" s="16"/>
      <c r="H187" s="16">
        <v>540000</v>
      </c>
      <c r="I187" s="16">
        <v>540000</v>
      </c>
      <c r="J187" s="142">
        <f t="shared" si="43"/>
        <v>1080000</v>
      </c>
      <c r="K187" s="65"/>
      <c r="L187" s="138"/>
      <c r="M187" t="s">
        <v>159</v>
      </c>
    </row>
    <row r="188" spans="1:12" s="47" customFormat="1" ht="15">
      <c r="A188" s="41"/>
      <c r="B188" s="174"/>
      <c r="C188" s="82" t="s">
        <v>4</v>
      </c>
      <c r="D188" s="75">
        <f>SUM(D183:D186)</f>
        <v>2261000</v>
      </c>
      <c r="E188" s="75">
        <f aca="true" t="shared" si="44" ref="E188:G188">SUM(E183:E186)</f>
        <v>2261000</v>
      </c>
      <c r="F188" s="75">
        <f t="shared" si="44"/>
        <v>2715000</v>
      </c>
      <c r="G188" s="75">
        <f t="shared" si="44"/>
        <v>2715000</v>
      </c>
      <c r="H188" s="75">
        <f>SUM(H183:H187)</f>
        <v>3140000</v>
      </c>
      <c r="I188" s="75">
        <f>SUM(I183:I187)</f>
        <v>3140000</v>
      </c>
      <c r="J188" s="75">
        <f>SUM(J183:J187)</f>
        <v>16232000</v>
      </c>
      <c r="K188" s="65"/>
      <c r="L188" s="138"/>
    </row>
    <row r="189" spans="1:12" s="47" customFormat="1" ht="15">
      <c r="A189" s="41"/>
      <c r="B189" s="159"/>
      <c r="C189" s="160"/>
      <c r="D189" s="65"/>
      <c r="E189" s="65"/>
      <c r="F189" s="65"/>
      <c r="G189" s="65"/>
      <c r="H189" s="65"/>
      <c r="I189" s="65"/>
      <c r="J189" s="65"/>
      <c r="K189" s="65"/>
      <c r="L189" s="138"/>
    </row>
    <row r="190" spans="1:12" s="47" customFormat="1" ht="15">
      <c r="A190" s="41"/>
      <c r="B190" s="102"/>
      <c r="C190" s="171" t="s">
        <v>197</v>
      </c>
      <c r="D190" s="128"/>
      <c r="E190" s="128"/>
      <c r="F190" s="128"/>
      <c r="G190" s="128"/>
      <c r="H190" s="128"/>
      <c r="I190" s="128"/>
      <c r="J190" s="86"/>
      <c r="K190" s="65"/>
      <c r="L190" s="138"/>
    </row>
    <row r="191" spans="1:12" s="47" customFormat="1" ht="15">
      <c r="A191" s="41"/>
      <c r="B191" s="159"/>
      <c r="C191" s="160"/>
      <c r="D191" s="65"/>
      <c r="E191" s="65"/>
      <c r="F191" s="65"/>
      <c r="G191" s="65"/>
      <c r="H191" s="65"/>
      <c r="I191" s="65"/>
      <c r="J191" s="65"/>
      <c r="K191" s="65"/>
      <c r="L191" s="138"/>
    </row>
    <row r="192" spans="1:12" s="47" customFormat="1" ht="15">
      <c r="A192" s="41"/>
      <c r="B192" s="163"/>
      <c r="C192" s="164" t="s">
        <v>192</v>
      </c>
      <c r="D192" s="145"/>
      <c r="E192" s="145"/>
      <c r="F192" s="145"/>
      <c r="G192" s="145"/>
      <c r="H192" s="145"/>
      <c r="I192" s="145"/>
      <c r="J192" s="145"/>
      <c r="K192" s="65"/>
      <c r="L192" s="138"/>
    </row>
    <row r="193" spans="1:12" s="47" customFormat="1" ht="15">
      <c r="A193" s="41"/>
      <c r="B193" s="18">
        <v>39789</v>
      </c>
      <c r="C193" s="14" t="s">
        <v>198</v>
      </c>
      <c r="D193" s="16">
        <v>1500000</v>
      </c>
      <c r="E193" s="16"/>
      <c r="F193" s="16">
        <v>1500000</v>
      </c>
      <c r="G193" s="16"/>
      <c r="H193" s="16">
        <v>1500000</v>
      </c>
      <c r="I193" s="16"/>
      <c r="J193" s="142">
        <f aca="true" t="shared" si="45" ref="J193:J198">SUM(D193:I193)</f>
        <v>4500000</v>
      </c>
      <c r="K193" s="65"/>
      <c r="L193" s="138"/>
    </row>
    <row r="194" spans="1:12" s="47" customFormat="1" ht="15">
      <c r="A194" s="41"/>
      <c r="B194" s="18">
        <v>39789</v>
      </c>
      <c r="C194" s="14" t="s">
        <v>199</v>
      </c>
      <c r="D194" s="16"/>
      <c r="E194" s="16"/>
      <c r="F194" s="16"/>
      <c r="G194" s="16"/>
      <c r="H194" s="16"/>
      <c r="I194" s="16"/>
      <c r="J194" s="142">
        <f t="shared" si="45"/>
        <v>0</v>
      </c>
      <c r="K194" s="65"/>
      <c r="L194" s="138"/>
    </row>
    <row r="195" spans="1:12" s="47" customFormat="1" ht="15">
      <c r="A195" s="41"/>
      <c r="B195" s="18">
        <v>39782</v>
      </c>
      <c r="C195" s="68" t="s">
        <v>10</v>
      </c>
      <c r="D195" s="16">
        <f>2689000+100000-D193</f>
        <v>1289000</v>
      </c>
      <c r="E195" s="16">
        <f>1000000+4170000-E193</f>
        <v>5170000</v>
      </c>
      <c r="F195" s="16">
        <f>1000000+3000000-F193</f>
        <v>2500000</v>
      </c>
      <c r="G195" s="16">
        <v>1000000</v>
      </c>
      <c r="H195" s="16">
        <f>1500000-H193</f>
        <v>0</v>
      </c>
      <c r="I195" s="16"/>
      <c r="J195" s="142">
        <f t="shared" si="45"/>
        <v>9959000</v>
      </c>
      <c r="K195" s="65"/>
      <c r="L195" s="138"/>
    </row>
    <row r="196" spans="1:12" s="47" customFormat="1" ht="15">
      <c r="A196" s="41"/>
      <c r="B196" s="18"/>
      <c r="C196" s="175" t="s">
        <v>200</v>
      </c>
      <c r="D196" s="176">
        <f>SUM(D193:D195)</f>
        <v>2789000</v>
      </c>
      <c r="E196" s="176">
        <f aca="true" t="shared" si="46" ref="E196:J196">SUM(E193:E195)</f>
        <v>5170000</v>
      </c>
      <c r="F196" s="176">
        <f t="shared" si="46"/>
        <v>4000000</v>
      </c>
      <c r="G196" s="176">
        <f t="shared" si="46"/>
        <v>1000000</v>
      </c>
      <c r="H196" s="176">
        <f t="shared" si="46"/>
        <v>1500000</v>
      </c>
      <c r="I196" s="176">
        <f t="shared" si="46"/>
        <v>0</v>
      </c>
      <c r="J196" s="177">
        <f t="shared" si="46"/>
        <v>14459000</v>
      </c>
      <c r="K196" s="65"/>
      <c r="L196" s="138"/>
    </row>
    <row r="197" spans="1:12" s="47" customFormat="1" ht="15">
      <c r="A197" s="41"/>
      <c r="B197" s="13">
        <v>33341</v>
      </c>
      <c r="C197" s="14" t="s">
        <v>7</v>
      </c>
      <c r="D197" s="16"/>
      <c r="E197" s="16">
        <v>759337</v>
      </c>
      <c r="F197" s="16">
        <v>2400000</v>
      </c>
      <c r="G197" s="16"/>
      <c r="H197" s="16"/>
      <c r="I197" s="16"/>
      <c r="J197" s="142">
        <f t="shared" si="45"/>
        <v>3159337</v>
      </c>
      <c r="K197" s="65"/>
      <c r="L197" s="138"/>
    </row>
    <row r="198" spans="1:12" s="47" customFormat="1" ht="15">
      <c r="A198" s="41"/>
      <c r="B198" s="18">
        <v>39782</v>
      </c>
      <c r="C198" s="68" t="s">
        <v>10</v>
      </c>
      <c r="D198" s="16"/>
      <c r="E198" s="16">
        <f>877846-E197</f>
        <v>118509</v>
      </c>
      <c r="F198" s="16">
        <f>4216588-F197</f>
        <v>1816588</v>
      </c>
      <c r="G198" s="16"/>
      <c r="H198" s="16"/>
      <c r="I198" s="16"/>
      <c r="J198" s="142">
        <f t="shared" si="45"/>
        <v>1935097</v>
      </c>
      <c r="K198" s="65"/>
      <c r="L198" s="138"/>
    </row>
    <row r="199" spans="1:12" s="47" customFormat="1" ht="15">
      <c r="A199" s="41"/>
      <c r="B199" s="18">
        <v>39782</v>
      </c>
      <c r="C199" s="178" t="s">
        <v>4</v>
      </c>
      <c r="D199" s="75">
        <f>SUM(D196:D198)</f>
        <v>2789000</v>
      </c>
      <c r="E199" s="75">
        <f aca="true" t="shared" si="47" ref="E199:J199">SUM(E196:E198)</f>
        <v>6047846</v>
      </c>
      <c r="F199" s="75">
        <f t="shared" si="47"/>
        <v>8216588</v>
      </c>
      <c r="G199" s="75">
        <f t="shared" si="47"/>
        <v>1000000</v>
      </c>
      <c r="H199" s="75">
        <f t="shared" si="47"/>
        <v>1500000</v>
      </c>
      <c r="I199" s="75">
        <f t="shared" si="47"/>
        <v>0</v>
      </c>
      <c r="J199" s="75">
        <f t="shared" si="47"/>
        <v>19553434</v>
      </c>
      <c r="K199" s="65"/>
      <c r="L199" s="138"/>
    </row>
    <row r="200" spans="1:12" s="47" customFormat="1" ht="15">
      <c r="A200" s="41"/>
      <c r="B200" s="159"/>
      <c r="C200" s="160"/>
      <c r="D200" s="65"/>
      <c r="E200" s="65"/>
      <c r="F200" s="65"/>
      <c r="G200" s="65"/>
      <c r="H200" s="65"/>
      <c r="I200" s="65"/>
      <c r="J200" s="65"/>
      <c r="K200" s="65"/>
      <c r="L200" s="138"/>
    </row>
    <row r="201" spans="1:12" s="47" customFormat="1" ht="15">
      <c r="A201" s="41"/>
      <c r="B201" s="159"/>
      <c r="C201" s="160"/>
      <c r="D201" s="65"/>
      <c r="E201" s="65"/>
      <c r="F201" s="65"/>
      <c r="G201" s="65"/>
      <c r="H201" s="65"/>
      <c r="I201" s="65"/>
      <c r="J201" s="65"/>
      <c r="K201" s="65"/>
      <c r="L201" s="138"/>
    </row>
    <row r="202" spans="1:12" s="47" customFormat="1" ht="15">
      <c r="A202" s="41"/>
      <c r="B202" s="150"/>
      <c r="C202" s="164" t="s">
        <v>193</v>
      </c>
      <c r="D202" s="145"/>
      <c r="E202" s="145"/>
      <c r="F202" s="145"/>
      <c r="G202" s="145"/>
      <c r="H202" s="145"/>
      <c r="I202" s="145"/>
      <c r="J202" s="145"/>
      <c r="K202" s="65"/>
      <c r="L202" s="138"/>
    </row>
    <row r="203" spans="1:12" s="47" customFormat="1" ht="15">
      <c r="A203" s="41"/>
      <c r="B203" s="18">
        <v>39789</v>
      </c>
      <c r="C203" s="14" t="s">
        <v>198</v>
      </c>
      <c r="D203" s="16">
        <v>1747000</v>
      </c>
      <c r="E203" s="16"/>
      <c r="F203" s="16">
        <v>1747000</v>
      </c>
      <c r="G203" s="16"/>
      <c r="H203" s="16">
        <v>1747000</v>
      </c>
      <c r="I203" s="16"/>
      <c r="J203" s="142">
        <f aca="true" t="shared" si="48" ref="J203:J209">SUM(D203:I203)</f>
        <v>5241000</v>
      </c>
      <c r="K203" s="65"/>
      <c r="L203" s="138"/>
    </row>
    <row r="204" spans="1:12" s="47" customFormat="1" ht="15">
      <c r="A204" s="41"/>
      <c r="B204" s="18">
        <v>39789</v>
      </c>
      <c r="C204" s="14" t="s">
        <v>199</v>
      </c>
      <c r="D204" s="16">
        <v>1147000</v>
      </c>
      <c r="E204" s="16"/>
      <c r="F204" s="16"/>
      <c r="G204" s="16"/>
      <c r="H204" s="16"/>
      <c r="I204" s="16"/>
      <c r="J204" s="142">
        <f t="shared" si="48"/>
        <v>1147000</v>
      </c>
      <c r="K204" s="65"/>
      <c r="L204" s="138"/>
    </row>
    <row r="205" spans="1:12" s="47" customFormat="1" ht="15">
      <c r="A205" s="41"/>
      <c r="B205" s="18">
        <v>39782</v>
      </c>
      <c r="C205" s="68" t="s">
        <v>10</v>
      </c>
      <c r="D205" s="16">
        <f>2400000+1000000-D204-D203</f>
        <v>506000</v>
      </c>
      <c r="E205" s="16">
        <f>4420000+1000000-E204-E203</f>
        <v>5420000</v>
      </c>
      <c r="F205" s="16">
        <f>3000000+1000000-F204-F203</f>
        <v>2253000</v>
      </c>
      <c r="G205" s="16">
        <f>1000000-G204-G203</f>
        <v>1000000</v>
      </c>
      <c r="H205" s="16">
        <f>1000000-H204-H203-H206</f>
        <v>0</v>
      </c>
      <c r="I205" s="16"/>
      <c r="J205" s="142">
        <f t="shared" si="48"/>
        <v>9179000</v>
      </c>
      <c r="K205" s="65"/>
      <c r="L205" s="138"/>
    </row>
    <row r="206" spans="1:12" s="47" customFormat="1" ht="15">
      <c r="A206" s="41"/>
      <c r="B206" s="18"/>
      <c r="C206" s="14" t="s">
        <v>201</v>
      </c>
      <c r="D206" s="16"/>
      <c r="E206" s="16"/>
      <c r="F206" s="16"/>
      <c r="G206" s="16"/>
      <c r="H206" s="16">
        <v>-747000</v>
      </c>
      <c r="I206" s="16"/>
      <c r="J206" s="142">
        <f t="shared" si="48"/>
        <v>-747000</v>
      </c>
      <c r="K206" s="65"/>
      <c r="L206" s="138"/>
    </row>
    <row r="207" spans="1:12" s="47" customFormat="1" ht="15">
      <c r="A207" s="41"/>
      <c r="B207" s="18"/>
      <c r="C207" s="175" t="s">
        <v>200</v>
      </c>
      <c r="D207" s="176">
        <f>SUM(D203:D206)</f>
        <v>3400000</v>
      </c>
      <c r="E207" s="176">
        <f aca="true" t="shared" si="49" ref="E207:J207">SUM(E203:E206)</f>
        <v>5420000</v>
      </c>
      <c r="F207" s="176">
        <f t="shared" si="49"/>
        <v>4000000</v>
      </c>
      <c r="G207" s="176">
        <f t="shared" si="49"/>
        <v>1000000</v>
      </c>
      <c r="H207" s="176">
        <f t="shared" si="49"/>
        <v>1000000</v>
      </c>
      <c r="I207" s="176">
        <f t="shared" si="49"/>
        <v>0</v>
      </c>
      <c r="J207" s="177">
        <f t="shared" si="49"/>
        <v>14820000</v>
      </c>
      <c r="K207" s="65"/>
      <c r="L207" s="138"/>
    </row>
    <row r="208" spans="1:12" s="47" customFormat="1" ht="15">
      <c r="A208" s="41"/>
      <c r="B208" s="13">
        <v>33341</v>
      </c>
      <c r="C208" s="14" t="s">
        <v>7</v>
      </c>
      <c r="D208" s="16"/>
      <c r="E208" s="16">
        <v>759337</v>
      </c>
      <c r="F208" s="16">
        <v>2624000</v>
      </c>
      <c r="G208" s="16"/>
      <c r="H208" s="16"/>
      <c r="I208" s="16"/>
      <c r="J208" s="142">
        <f t="shared" si="48"/>
        <v>3383337</v>
      </c>
      <c r="K208" s="65"/>
      <c r="L208" s="138"/>
    </row>
    <row r="209" spans="1:12" s="47" customFormat="1" ht="15">
      <c r="A209" s="41"/>
      <c r="B209" s="18">
        <v>39782</v>
      </c>
      <c r="C209" s="68" t="s">
        <v>10</v>
      </c>
      <c r="D209" s="16"/>
      <c r="E209" s="16">
        <v>118509</v>
      </c>
      <c r="F209" s="16">
        <f>4216588-F208</f>
        <v>1592588</v>
      </c>
      <c r="G209" s="16"/>
      <c r="H209" s="16"/>
      <c r="I209" s="16"/>
      <c r="J209" s="142">
        <f t="shared" si="48"/>
        <v>1711097</v>
      </c>
      <c r="K209" s="65"/>
      <c r="L209" s="138"/>
    </row>
    <row r="210" spans="1:12" s="47" customFormat="1" ht="15">
      <c r="A210" s="41"/>
      <c r="B210" s="18"/>
      <c r="C210" s="178" t="s">
        <v>4</v>
      </c>
      <c r="D210" s="75">
        <f>+D209+D208+D207</f>
        <v>3400000</v>
      </c>
      <c r="E210" s="75">
        <f aca="true" t="shared" si="50" ref="E210:J210">+E209+E208+E207</f>
        <v>6297846</v>
      </c>
      <c r="F210" s="75">
        <f t="shared" si="50"/>
        <v>8216588</v>
      </c>
      <c r="G210" s="75">
        <f t="shared" si="50"/>
        <v>1000000</v>
      </c>
      <c r="H210" s="75">
        <f t="shared" si="50"/>
        <v>1000000</v>
      </c>
      <c r="I210" s="75">
        <f t="shared" si="50"/>
        <v>0</v>
      </c>
      <c r="J210" s="75">
        <f t="shared" si="50"/>
        <v>19914434</v>
      </c>
      <c r="K210" s="65"/>
      <c r="L210" s="138"/>
    </row>
    <row r="211" spans="1:12" s="47" customFormat="1" ht="15">
      <c r="A211" s="41"/>
      <c r="B211" s="159"/>
      <c r="C211" s="160"/>
      <c r="D211" s="65"/>
      <c r="E211" s="65"/>
      <c r="F211" s="65"/>
      <c r="G211" s="65"/>
      <c r="H211" s="65"/>
      <c r="I211" s="65"/>
      <c r="J211" s="65"/>
      <c r="K211" s="65"/>
      <c r="L211" s="138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 hidden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 hidden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4.25" customHeight="1" hidden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 hidden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 hidden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 hidden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 hidden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 hidden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 hidden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 hidden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 hidden="1">
      <c r="A224"/>
      <c r="B224"/>
      <c r="C224"/>
      <c r="D224"/>
      <c r="E224"/>
      <c r="F224"/>
      <c r="G224"/>
      <c r="H224"/>
      <c r="I224"/>
      <c r="J224"/>
      <c r="K224"/>
      <c r="L224"/>
    </row>
    <row r="225" ht="15" hidden="1"/>
    <row r="226" ht="15"/>
    <row r="227" ht="15"/>
    <row r="228" ht="15"/>
    <row r="229" ht="15"/>
    <row r="230" ht="15"/>
    <row r="231" ht="15"/>
    <row r="232" ht="15"/>
    <row r="233" ht="15"/>
    <row r="234" ht="30" customHeight="1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30" customHeight="1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</sheetData>
  <mergeCells count="10">
    <mergeCell ref="C116:J117"/>
    <mergeCell ref="B140:B141"/>
    <mergeCell ref="C140:C141"/>
    <mergeCell ref="B1:J1"/>
    <mergeCell ref="B2:J2"/>
    <mergeCell ref="B28:J28"/>
    <mergeCell ref="B100:J100"/>
    <mergeCell ref="D108:E108"/>
    <mergeCell ref="F108:G108"/>
    <mergeCell ref="H108:I108"/>
  </mergeCells>
  <printOptions horizontalCentered="1"/>
  <pageMargins left="0.25" right="0.25" top="0.3" bottom="0.3" header="0.3" footer="0.3"/>
  <pageSetup fitToHeight="0" fitToWidth="1" horizontalDpi="600" verticalDpi="600" orientation="portrait" paperSize="17" scale="72" r:id="rId3"/>
  <headerFooter>
    <oddFooter>&amp;L&amp;6&amp;F&amp;CPage &amp;P&amp;R6/29/2018 rev. 8/28/2018 rev. 9/26/2018</oddFooter>
  </headerFooter>
  <rowBreaks count="1" manualBreakCount="1">
    <brk id="9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5:O27"/>
  <sheetViews>
    <sheetView workbookViewId="0" topLeftCell="A21">
      <selection activeCell="O27" sqref="O27"/>
    </sheetView>
  </sheetViews>
  <sheetFormatPr defaultColWidth="9.140625" defaultRowHeight="15"/>
  <cols>
    <col min="3" max="3" width="61.57421875" style="0" bestFit="1" customWidth="1"/>
    <col min="4" max="4" width="16.28125" style="0" bestFit="1" customWidth="1"/>
  </cols>
  <sheetData>
    <row r="5" spans="3:4" ht="15">
      <c r="C5" t="s">
        <v>272</v>
      </c>
      <c r="D5" s="297">
        <f>'6YrPemLvy No Debt '!P8</f>
        <v>46700000</v>
      </c>
    </row>
    <row r="6" spans="3:4" ht="15">
      <c r="C6" t="s">
        <v>273</v>
      </c>
      <c r="D6" s="297">
        <f>'6YrPemLvy No Debt '!P14</f>
        <v>21524000</v>
      </c>
    </row>
    <row r="7" spans="3:12" ht="15">
      <c r="C7" t="s">
        <v>274</v>
      </c>
      <c r="D7" s="297">
        <f>'6YrPemLvy No Debt '!P21-'6YrPemLvy No Debt '!P14</f>
        <v>96947000</v>
      </c>
      <c r="L7" t="s">
        <v>275</v>
      </c>
    </row>
    <row r="8" spans="3:4" ht="15">
      <c r="C8" t="s">
        <v>277</v>
      </c>
      <c r="D8" s="297">
        <f>SUM('6YrPemLvy No Debt '!P32:P37)</f>
        <v>18352072</v>
      </c>
    </row>
    <row r="9" spans="3:4" ht="15">
      <c r="C9" t="s">
        <v>278</v>
      </c>
      <c r="D9" s="297">
        <f>SUM('6YrPemLvy No Debt '!P39:P45)</f>
        <v>10983853.6</v>
      </c>
    </row>
    <row r="10" spans="3:4" ht="15">
      <c r="C10" t="s">
        <v>276</v>
      </c>
      <c r="D10" s="297">
        <v>10000000</v>
      </c>
    </row>
    <row r="11" spans="3:4" ht="15">
      <c r="C11" t="s">
        <v>279</v>
      </c>
      <c r="D11" s="297">
        <v>7000000</v>
      </c>
    </row>
    <row r="12" ht="15">
      <c r="D12" s="298">
        <f>SUM(D5:D11)</f>
        <v>211506925.6</v>
      </c>
    </row>
    <row r="20" ht="15">
      <c r="O20">
        <v>10</v>
      </c>
    </row>
    <row r="21" ht="15">
      <c r="O21">
        <v>7</v>
      </c>
    </row>
    <row r="22" ht="15">
      <c r="O22">
        <v>47</v>
      </c>
    </row>
    <row r="23" ht="15">
      <c r="O23">
        <v>22</v>
      </c>
    </row>
    <row r="24" ht="15">
      <c r="O24">
        <v>97</v>
      </c>
    </row>
    <row r="25" ht="15">
      <c r="O25">
        <v>18</v>
      </c>
    </row>
    <row r="26" ht="15">
      <c r="O26">
        <v>9</v>
      </c>
    </row>
    <row r="27" ht="15">
      <c r="O27">
        <f>SUM(O20:O26)</f>
        <v>210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1"/>
  <sheetViews>
    <sheetView showGridLines="0" zoomScale="85" zoomScaleNormal="85" workbookViewId="0" topLeftCell="A1">
      <selection activeCell="E7" sqref="E7"/>
    </sheetView>
  </sheetViews>
  <sheetFormatPr defaultColWidth="9.140625" defaultRowHeight="15"/>
  <cols>
    <col min="1" max="1" width="14.57421875" style="0" customWidth="1"/>
    <col min="2" max="2" width="90.28125" style="0" customWidth="1"/>
    <col min="3" max="4" width="10.8515625" style="0" customWidth="1"/>
    <col min="5" max="8" width="10.8515625" style="0" bestFit="1" customWidth="1"/>
    <col min="9" max="10" width="11.00390625" style="0" bestFit="1" customWidth="1"/>
    <col min="11" max="11" width="11.8515625" style="0" bestFit="1" customWidth="1"/>
    <col min="12" max="12" width="11.00390625" style="0" bestFit="1" customWidth="1"/>
    <col min="13" max="14" width="11.57421875" style="0" bestFit="1" customWidth="1"/>
    <col min="15" max="15" width="4.57421875" style="0" customWidth="1"/>
    <col min="16" max="16" width="11.8515625" style="0" bestFit="1" customWidth="1"/>
    <col min="17" max="17" width="19.00390625" style="0" customWidth="1"/>
    <col min="19" max="19" width="10.8515625" style="0" bestFit="1" customWidth="1"/>
  </cols>
  <sheetData>
    <row r="1" spans="2:17" s="130" customFormat="1" ht="15">
      <c r="B1" s="316" t="s">
        <v>288</v>
      </c>
      <c r="C1" s="226">
        <v>2019</v>
      </c>
      <c r="D1" s="226">
        <v>2020</v>
      </c>
      <c r="E1" s="226">
        <v>2021</v>
      </c>
      <c r="F1" s="226">
        <v>2022</v>
      </c>
      <c r="G1" s="226">
        <v>2023</v>
      </c>
      <c r="H1" s="226">
        <v>2024</v>
      </c>
      <c r="I1" s="226">
        <v>2025</v>
      </c>
      <c r="J1" s="226">
        <v>2026</v>
      </c>
      <c r="K1" s="226">
        <v>2027</v>
      </c>
      <c r="L1" s="226">
        <v>2028</v>
      </c>
      <c r="M1" s="226">
        <v>2029</v>
      </c>
      <c r="N1" s="227">
        <v>2030</v>
      </c>
      <c r="P1" s="185"/>
      <c r="Q1" s="258"/>
    </row>
    <row r="2" spans="2:17" s="130" customFormat="1" ht="15">
      <c r="B2" s="184"/>
      <c r="C2" s="267"/>
      <c r="D2" s="299"/>
      <c r="E2" s="233"/>
      <c r="F2" s="233"/>
      <c r="G2" s="233"/>
      <c r="H2" s="233"/>
      <c r="I2" s="233"/>
      <c r="J2" s="233"/>
      <c r="K2" s="233"/>
      <c r="L2" s="233"/>
      <c r="M2" s="233"/>
      <c r="N2" s="234"/>
      <c r="P2" s="185"/>
      <c r="Q2" s="258"/>
    </row>
    <row r="3" spans="2:17" s="130" customFormat="1" ht="15.75" thickBot="1">
      <c r="B3" s="315" t="s">
        <v>287</v>
      </c>
      <c r="C3" s="314">
        <v>14695000</v>
      </c>
      <c r="D3" s="244">
        <v>14795000</v>
      </c>
      <c r="E3" s="244">
        <v>11426000</v>
      </c>
      <c r="F3" s="244">
        <v>7426000</v>
      </c>
      <c r="G3" s="244">
        <v>6142000</v>
      </c>
      <c r="H3" s="244">
        <v>4042000</v>
      </c>
      <c r="I3" s="244">
        <v>0</v>
      </c>
      <c r="J3" s="244"/>
      <c r="K3" s="244"/>
      <c r="L3" s="244"/>
      <c r="M3" s="244"/>
      <c r="N3" s="245"/>
      <c r="P3" s="185"/>
      <c r="Q3" s="258"/>
    </row>
    <row r="4" spans="1:17" s="130" customFormat="1" ht="15.75" thickTop="1">
      <c r="A4" s="130" t="s">
        <v>284</v>
      </c>
      <c r="B4" s="309" t="s">
        <v>286</v>
      </c>
      <c r="C4" s="313"/>
      <c r="D4" s="312"/>
      <c r="E4" s="311">
        <v>11710398</v>
      </c>
      <c r="F4" s="311">
        <v>12027150</v>
      </c>
      <c r="G4" s="311">
        <v>15629748.8</v>
      </c>
      <c r="H4" s="311">
        <v>20127460.8</v>
      </c>
      <c r="I4" s="311">
        <v>17160000</v>
      </c>
      <c r="J4" s="311">
        <v>17672168</v>
      </c>
      <c r="K4" s="311">
        <v>18110000</v>
      </c>
      <c r="L4" s="311">
        <v>16023000</v>
      </c>
      <c r="M4" s="311">
        <v>19116000</v>
      </c>
      <c r="N4" s="310">
        <v>16756000</v>
      </c>
      <c r="P4" s="185"/>
      <c r="Q4" s="258"/>
    </row>
    <row r="5" spans="1:17" s="130" customFormat="1" ht="15">
      <c r="A5" s="130" t="s">
        <v>284</v>
      </c>
      <c r="B5" s="309" t="s">
        <v>285</v>
      </c>
      <c r="C5" s="246"/>
      <c r="D5" s="301"/>
      <c r="E5" s="216">
        <v>2000000</v>
      </c>
      <c r="F5" s="216">
        <v>0</v>
      </c>
      <c r="G5" s="216">
        <v>122000</v>
      </c>
      <c r="H5" s="216">
        <v>0</v>
      </c>
      <c r="I5" s="216">
        <v>2251000</v>
      </c>
      <c r="J5" s="216">
        <v>0</v>
      </c>
      <c r="K5" s="216">
        <v>2388000</v>
      </c>
      <c r="L5" s="216">
        <v>0</v>
      </c>
      <c r="M5" s="216">
        <v>2534000</v>
      </c>
      <c r="N5" s="217">
        <v>0</v>
      </c>
      <c r="P5" s="185"/>
      <c r="Q5" s="258"/>
    </row>
    <row r="6" spans="1:17" s="130" customFormat="1" ht="15">
      <c r="A6" s="130" t="s">
        <v>284</v>
      </c>
      <c r="B6" s="309" t="s">
        <v>283</v>
      </c>
      <c r="C6" s="246"/>
      <c r="D6" s="301"/>
      <c r="E6" s="216">
        <v>-1000000</v>
      </c>
      <c r="F6" s="216">
        <v>1000000</v>
      </c>
      <c r="G6" s="216">
        <v>-61000</v>
      </c>
      <c r="H6" s="216">
        <v>61000</v>
      </c>
      <c r="I6" s="216">
        <v>-1125500</v>
      </c>
      <c r="J6" s="216">
        <v>1125500</v>
      </c>
      <c r="K6" s="216">
        <v>-1194000</v>
      </c>
      <c r="L6" s="216">
        <v>1194000</v>
      </c>
      <c r="M6" s="216">
        <v>-1267000</v>
      </c>
      <c r="N6" s="217">
        <v>1000000</v>
      </c>
      <c r="P6" s="185"/>
      <c r="Q6" s="258"/>
    </row>
    <row r="7" spans="2:17" s="130" customFormat="1" ht="15.75" thickBot="1">
      <c r="B7" s="308" t="s">
        <v>264</v>
      </c>
      <c r="C7" s="307"/>
      <c r="D7" s="306"/>
      <c r="E7" s="305">
        <v>10710398</v>
      </c>
      <c r="F7" s="305">
        <v>13027150</v>
      </c>
      <c r="G7" s="305">
        <v>15568748.8</v>
      </c>
      <c r="H7" s="305">
        <v>20188460.8</v>
      </c>
      <c r="I7" s="305">
        <v>16034500</v>
      </c>
      <c r="J7" s="305">
        <v>18797668</v>
      </c>
      <c r="K7" s="305">
        <v>16916000</v>
      </c>
      <c r="L7" s="305">
        <v>17217000</v>
      </c>
      <c r="M7" s="305">
        <v>17849000</v>
      </c>
      <c r="N7" s="304">
        <v>17756000</v>
      </c>
      <c r="P7" s="185"/>
      <c r="Q7" s="258"/>
    </row>
    <row r="8" spans="2:17" s="130" customFormat="1" ht="15.75" thickTop="1">
      <c r="B8" s="184" t="s">
        <v>263</v>
      </c>
      <c r="C8" s="272"/>
      <c r="D8" s="303"/>
      <c r="E8" s="273">
        <v>22136398</v>
      </c>
      <c r="F8" s="273">
        <v>20453150</v>
      </c>
      <c r="G8" s="273">
        <v>21710748.8</v>
      </c>
      <c r="H8" s="273">
        <v>24230460.8</v>
      </c>
      <c r="I8" s="273">
        <v>16034500</v>
      </c>
      <c r="J8" s="273">
        <v>18797668</v>
      </c>
      <c r="K8" s="273">
        <v>16916000</v>
      </c>
      <c r="L8" s="273">
        <v>17217000</v>
      </c>
      <c r="M8" s="273">
        <v>17849000</v>
      </c>
      <c r="N8" s="302">
        <v>17756000</v>
      </c>
      <c r="P8" s="185"/>
      <c r="Q8" s="258"/>
    </row>
    <row r="9" spans="1:17" s="130" customFormat="1" ht="15">
      <c r="A9" s="130" t="s">
        <v>282</v>
      </c>
      <c r="B9" s="184"/>
      <c r="C9" s="246"/>
      <c r="D9" s="301"/>
      <c r="E9" s="247"/>
      <c r="F9" s="247"/>
      <c r="G9" s="247"/>
      <c r="H9" s="247"/>
      <c r="I9" s="247"/>
      <c r="J9" s="247"/>
      <c r="K9" s="247"/>
      <c r="L9" s="247"/>
      <c r="M9" s="247"/>
      <c r="N9" s="248"/>
      <c r="P9" s="185"/>
      <c r="Q9" s="258"/>
    </row>
    <row r="10" spans="2:17" s="130" customFormat="1" ht="15">
      <c r="B10" t="s">
        <v>265</v>
      </c>
      <c r="C10" s="300"/>
      <c r="D10" s="216"/>
      <c r="E10" s="216"/>
      <c r="F10" s="216"/>
      <c r="G10" s="216"/>
      <c r="H10" s="216"/>
      <c r="I10" s="216">
        <v>-300000</v>
      </c>
      <c r="J10" s="216">
        <v>-3500000</v>
      </c>
      <c r="K10" s="216">
        <v>-6000000</v>
      </c>
      <c r="L10" s="216">
        <v>-9300000</v>
      </c>
      <c r="M10" s="216">
        <v>-12300000</v>
      </c>
      <c r="N10" s="217">
        <v>-15300000</v>
      </c>
      <c r="P10" s="185"/>
      <c r="Q10" s="258"/>
    </row>
    <row r="11" spans="1:17" s="130" customFormat="1" ht="15">
      <c r="A11" s="130" t="s">
        <v>281</v>
      </c>
      <c r="B11" t="s">
        <v>261</v>
      </c>
      <c r="C11" s="300"/>
      <c r="D11" s="216"/>
      <c r="E11" s="216"/>
      <c r="F11" s="216"/>
      <c r="G11" s="216"/>
      <c r="H11" s="216"/>
      <c r="I11" s="216">
        <v>-300000</v>
      </c>
      <c r="J11" s="216">
        <v>-3500000</v>
      </c>
      <c r="K11" s="216">
        <v>-6000000</v>
      </c>
      <c r="L11" s="216">
        <v>-9300000</v>
      </c>
      <c r="M11" s="216">
        <v>-12300000</v>
      </c>
      <c r="N11" s="217">
        <v>-15300000</v>
      </c>
      <c r="P11" s="185"/>
      <c r="Q11" s="258"/>
    </row>
    <row r="12" spans="1:17" s="130" customFormat="1" ht="15">
      <c r="A12" s="130" t="s">
        <v>280</v>
      </c>
      <c r="B12" s="184"/>
      <c r="C12" s="267"/>
      <c r="D12" s="299"/>
      <c r="E12" s="233">
        <v>11426000</v>
      </c>
      <c r="F12" s="233">
        <v>7426000</v>
      </c>
      <c r="G12" s="233">
        <v>6142000</v>
      </c>
      <c r="H12" s="233">
        <v>4042000</v>
      </c>
      <c r="I12" s="233">
        <v>0</v>
      </c>
      <c r="J12" s="233"/>
      <c r="K12" s="233"/>
      <c r="L12" s="233"/>
      <c r="M12" s="233"/>
      <c r="N12" s="234"/>
      <c r="P12" s="185"/>
      <c r="Q12" s="258"/>
    </row>
    <row r="13" spans="2:17" s="130" customFormat="1" ht="15">
      <c r="B13" s="184"/>
      <c r="C13" s="184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P13" s="185"/>
      <c r="Q13" s="258"/>
    </row>
    <row r="14" ht="15">
      <c r="Q14" s="251"/>
    </row>
    <row r="15" ht="15">
      <c r="Q15" s="251"/>
    </row>
    <row r="16" ht="15">
      <c r="Q16" s="251"/>
    </row>
    <row r="17" ht="15">
      <c r="Q17" s="251"/>
    </row>
    <row r="18" ht="15">
      <c r="Q18" s="251"/>
    </row>
    <row r="19" ht="15">
      <c r="Q19" s="251"/>
    </row>
    <row r="20" ht="15">
      <c r="Q20" s="251"/>
    </row>
    <row r="21" ht="15">
      <c r="Q21" s="251"/>
    </row>
    <row r="22" ht="15">
      <c r="Q22" s="251"/>
    </row>
    <row r="23" ht="15">
      <c r="Q23" s="251"/>
    </row>
    <row r="24" ht="15">
      <c r="Q24" s="251"/>
    </row>
    <row r="25" ht="15">
      <c r="Q25" s="251"/>
    </row>
    <row r="26" ht="15">
      <c r="Q26" s="251"/>
    </row>
    <row r="27" ht="15">
      <c r="Q27" s="251"/>
    </row>
    <row r="28" ht="15">
      <c r="Q28" s="251"/>
    </row>
    <row r="29" ht="15">
      <c r="Q29" s="251"/>
    </row>
    <row r="30" ht="15">
      <c r="Q30" s="251"/>
    </row>
    <row r="31" ht="15">
      <c r="Q31" s="251"/>
    </row>
    <row r="32" ht="15">
      <c r="Q32" s="251"/>
    </row>
    <row r="33" ht="15">
      <c r="Q33" s="251"/>
    </row>
    <row r="34" ht="15">
      <c r="Q34" s="251"/>
    </row>
    <row r="35" ht="15">
      <c r="Q35" s="251"/>
    </row>
    <row r="36" ht="15">
      <c r="Q36" s="251"/>
    </row>
    <row r="37" ht="15">
      <c r="Q37" s="251"/>
    </row>
    <row r="38" ht="15">
      <c r="Q38" s="251"/>
    </row>
    <row r="39" ht="15">
      <c r="Q39" s="251"/>
    </row>
    <row r="40" ht="15">
      <c r="Q40" s="251"/>
    </row>
    <row r="41" ht="15">
      <c r="Q41" s="251"/>
    </row>
  </sheetData>
  <printOptions/>
  <pageMargins left="0.25" right="0.25" top="0.75" bottom="0.75" header="0.3" footer="0.3"/>
  <pageSetup fitToHeight="0" horizontalDpi="600" verticalDpi="600" orientation="landscape" paperSize="17" scale="90" r:id="rId1"/>
  <headerFooter>
    <oddFooter>&amp;L&amp;Z&amp;F&amp;A by mdf printed &amp;D &amp;T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784118FB0284593AC2ECB241655AB" ma:contentTypeVersion="16" ma:contentTypeDescription="Create a new document." ma:contentTypeScope="" ma:versionID="5d15f58f80de732f409f38a66c5965e0">
  <xsd:schema xmlns:xsd="http://www.w3.org/2001/XMLSchema" xmlns:xs="http://www.w3.org/2001/XMLSchema" xmlns:p="http://schemas.microsoft.com/office/2006/metadata/properties" xmlns:ns1="http://schemas.microsoft.com/sharepoint/v3" xmlns:ns3="6b8dc8c4-28c1-4386-b60d-287e570853f5" xmlns:ns4="3ce7de78-8c44-4214-a4ae-6a92ab82ca4c" targetNamespace="http://schemas.microsoft.com/office/2006/metadata/properties" ma:root="true" ma:fieldsID="7589618361c83b89cde19b189ce729ca" ns1:_="" ns3:_="" ns4:_="">
    <xsd:import namespace="http://schemas.microsoft.com/sharepoint/v3"/>
    <xsd:import namespace="6b8dc8c4-28c1-4386-b60d-287e570853f5"/>
    <xsd:import namespace="3ce7de78-8c44-4214-a4ae-6a92ab82ca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dc8c4-28c1-4386-b60d-287e570853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7de78-8c44-4214-a4ae-6a92ab82ca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9D291-9841-4C45-96D8-8E0D6B2CB69F}">
  <ds:schemaRefs>
    <ds:schemaRef ds:uri="6b8dc8c4-28c1-4386-b60d-287e570853f5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ce7de78-8c44-4214-a4ae-6a92ab82ca4c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CECAF6-4EEC-42A8-86C0-3524D69DB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8dc8c4-28c1-4386-b60d-287e570853f5"/>
    <ds:schemaRef ds:uri="3ce7de78-8c44-4214-a4ae-6a92ab82ca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800EBD-87F4-4DE9-B119-1E68BCD47C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Foote, Mark</dc:creator>
  <cp:keywords/>
  <dc:description/>
  <cp:lastModifiedBy>Bowman, Nick</cp:lastModifiedBy>
  <cp:lastPrinted>2020-02-28T17:54:20Z</cp:lastPrinted>
  <dcterms:created xsi:type="dcterms:W3CDTF">2019-09-11T20:10:20Z</dcterms:created>
  <dcterms:modified xsi:type="dcterms:W3CDTF">2020-02-28T18:47:10Z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0x010100CC8784118FB0284593AC2ECB241655AB</vt:lpwstr>
  </property>
</Properties>
</file>