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codeName="ThisWorkbook" defaultThemeVersion="124226"/>
  <bookViews>
    <workbookView xWindow="1815" yWindow="1815" windowWidth="25230" windowHeight="1294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Cost Calc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<sst xmlns="http://schemas.openxmlformats.org/spreadsheetml/2006/main" count="744" uniqueCount="216">
  <si>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</si>
  <si>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</si>
  <si>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</si>
  <si>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</si>
  <si>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</si>
  <si>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</si>
  <si>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</si>
  <si>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</si>
  <si>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</si>
  <si>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</si>
  <si>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</si>
  <si>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</si>
  <si>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</si>
  <si>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</si>
  <si>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</si>
  <si>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</si>
  <si>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</si>
  <si>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</si>
  <si>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</si>
  <si>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</si>
  <si>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</si>
  <si>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</si>
  <si>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</si>
  <si>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</si>
  <si>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</si>
  <si>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</si>
  <si>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</si>
  <si>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</si>
  <si>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</si>
  <si>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</si>
  <si>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</si>
  <si>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</si>
  <si>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</si>
  <si>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</si>
  <si>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</si>
  <si>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</si>
  <si>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</si>
  <si>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</si>
  <si>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</si>
  <si>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</si>
  <si>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</si>
  <si>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</si>
  <si>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</si>
  <si>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</si>
  <si>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</si>
  <si>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</si>
  <si>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</si>
  <si>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</si>
  <si>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</si>
  <si>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</si>
  <si>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</si>
  <si>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</si>
  <si>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</si>
  <si>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</si>
  <si>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</si>
  <si>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</si>
  <si>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</si>
  <si>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</si>
  <si>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</si>
  <si>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</si>
  <si>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</si>
  <si>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</si>
  <si>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</si>
  <si>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</si>
  <si>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</si>
  <si>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</si>
  <si>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</si>
  <si>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</si>
  <si>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</si>
  <si>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</si>
  <si>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</si>
  <si>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</si>
  <si>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</si>
  <si>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</si>
  <si>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</si>
  <si>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</si>
  <si>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</si>
  <si>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</si>
  <si>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</si>
  <si>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</si>
  <si>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</si>
  <si>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</si>
  <si>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</si>
  <si>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</si>
  <si>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</si>
  <si>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</si>
  <si>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</si>
  <si>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</si>
  <si>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</si>
  <si>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</si>
  <si>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</si>
  <si>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</si>
  <si>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</si>
  <si>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</si>
  <si>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</si>
  <si>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</si>
  <si>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</si>
  <si>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</si>
  <si>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</si>
  <si>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</si>
  <si>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</si>
  <si>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</si>
  <si>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</si>
  <si>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</si>
  <si>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</si>
  <si>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</si>
  <si>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</si>
  <si>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</si>
  <si>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</si>
  <si>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</si>
  <si>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</si>
  <si>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</si>
  <si>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</si>
  <si>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</si>
  <si>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</si>
  <si>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</si>
  <si>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</si>
  <si>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</si>
  <si>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</si>
  <si>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</si>
  <si>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</si>
  <si>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</si>
  <si>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</si>
  <si>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</si>
  <si>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</si>
  <si>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</si>
  <si>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</si>
  <si>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</si>
  <si>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</si>
  <si>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</si>
  <si>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</si>
  <si>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</si>
  <si>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</si>
  <si>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</si>
  <si>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</si>
  <si>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</si>
  <si>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</si>
  <si>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</si>
  <si>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</si>
  <si>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</si>
  <si>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</si>
  <si>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</si>
  <si>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</si>
  <si>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</si>
  <si>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</si>
  <si>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</si>
  <si>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</si>
  <si>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</si>
  <si>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</si>
  <si>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</si>
  <si>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</si>
  <si>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</si>
  <si>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</si>
  <si>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</si>
  <si>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</si>
  <si>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</si>
  <si>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</si>
  <si>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Graybar Building Lease Renewal</t>
  </si>
  <si>
    <t>Graybar Building Lease</t>
  </si>
  <si>
    <t>FMD; Transit; Records &amp; Licensing</t>
  </si>
  <si>
    <t>Lease Renewal</t>
  </si>
  <si>
    <t>Stand Alone</t>
  </si>
  <si>
    <t>Carolyn Mock / Mark Zandberg</t>
  </si>
  <si>
    <t>7/23/19</t>
  </si>
  <si>
    <t>FMD</t>
  </si>
  <si>
    <t>DES</t>
  </si>
  <si>
    <t>Transit</t>
  </si>
  <si>
    <t>Metro</t>
  </si>
  <si>
    <t>RALS</t>
  </si>
  <si>
    <t>0010</t>
  </si>
  <si>
    <t>A46400</t>
  </si>
  <si>
    <t>A60000</t>
  </si>
  <si>
    <t>A47000</t>
  </si>
  <si>
    <t>1040349</t>
  </si>
  <si>
    <t>1001074</t>
  </si>
  <si>
    <t>1000966</t>
  </si>
  <si>
    <t>LCD 7/1/2019</t>
  </si>
  <si>
    <t>SF</t>
  </si>
  <si>
    <t>Initial Opex</t>
  </si>
  <si>
    <t>Per SF</t>
  </si>
  <si>
    <t>Addl Rent</t>
  </si>
  <si>
    <t>of base rent (Operation &amp; Maintenance rent)</t>
  </si>
  <si>
    <t>Base Rent</t>
  </si>
  <si>
    <t>Months</t>
  </si>
  <si>
    <t>Monthly Rate</t>
  </si>
  <si>
    <t xml:space="preserve">         M 1 </t>
  </si>
  <si>
    <t>M 1 - 12</t>
  </si>
  <si>
    <t>M 13 - 24</t>
  </si>
  <si>
    <t>M 25 - 36</t>
  </si>
  <si>
    <t>M 37  -48</t>
  </si>
  <si>
    <t>M 49 - 60</t>
  </si>
  <si>
    <t>M 61  - 72</t>
  </si>
  <si>
    <t>M 73  - 84</t>
  </si>
  <si>
    <t>M 85  - 96</t>
  </si>
  <si>
    <t>M 97  - 108</t>
  </si>
  <si>
    <t>M 109 - 120</t>
  </si>
  <si>
    <t>Annual Base Rent Total</t>
  </si>
  <si>
    <t>OPEX</t>
  </si>
  <si>
    <t>Year</t>
  </si>
  <si>
    <t xml:space="preserve">Monthly Opex </t>
  </si>
  <si>
    <t>Annual OPEX Total</t>
  </si>
  <si>
    <t>Note: OPEX estimate annual 3% increases</t>
  </si>
  <si>
    <t>Monthly Addl Rent</t>
  </si>
  <si>
    <t>Annual Addl Rent Total</t>
  </si>
  <si>
    <t xml:space="preserve">Annual Total Base and OPEX </t>
  </si>
  <si>
    <t>Total Biennium Total Costs</t>
  </si>
  <si>
    <t xml:space="preserve">*Bienniums color coded by yellow/green </t>
  </si>
  <si>
    <t>Total Lease Cost</t>
  </si>
  <si>
    <t>- Up to $100,000 of theTI Allowance may be used as a rent credit to be applied in equal installments during the first 5 years of the first extended term.</t>
  </si>
  <si>
    <t>An NPV analysis was not performed because this is a lease renewal for a building that meets the unique program requirements of the existing tenants.</t>
  </si>
  <si>
    <t>- Lease extended for 10 years with option for 2 additional 5 year extensions.</t>
  </si>
  <si>
    <t>- Landlord is providing a Tenant Improvement Allowance of $330,000</t>
  </si>
  <si>
    <t>Note:  Includes monthly parking for 4 stalls @ $150/stall with 5% annual increases</t>
  </si>
  <si>
    <t>Operation &amp; Maint Additional Rent (4% of Base Rent)</t>
  </si>
  <si>
    <t>Rent, Operating Costs, Additional Rent</t>
  </si>
  <si>
    <t>- Additional Rent includes 1) Operation &amp; Maintenance Rent at 4% of Base Rent plus 2) Parking, 4 stalls at $150/stall with 5% annual increases.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</si>
</sst>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54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rgb="FFFF0000"/>
      <name val="Univers"/>
      <family val="2"/>
    </font>
    <font>
      <b/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34" fillId="3" borderId="31" xfId="0" applyFont="1" applyFill="1" applyBorder="1" applyAlignment="1" applyProtection="1" quotePrefix="1">
      <alignment horizontal="left" vertical="top"/>
      <protection locked="0"/>
    </xf>
    <xf numFmtId="0" fontId="48" fillId="0" borderId="0" xfId="20" applyFont="1">
      <alignment/>
      <protection/>
    </xf>
    <xf numFmtId="0" fontId="1" fillId="0" borderId="0" xfId="20">
      <alignment/>
      <protection/>
    </xf>
    <xf numFmtId="164" fontId="0" fillId="0" borderId="0" xfId="21" applyNumberFormat="1" applyFont="1"/>
    <xf numFmtId="44" fontId="0" fillId="0" borderId="0" xfId="22" applyFont="1"/>
    <xf numFmtId="0" fontId="1" fillId="0" borderId="0" xfId="20" quotePrefix="1">
      <alignment/>
      <protection/>
    </xf>
    <xf numFmtId="9" fontId="0" fillId="0" borderId="0" xfId="22" applyNumberFormat="1" applyFont="1"/>
    <xf numFmtId="0" fontId="48" fillId="0" borderId="54" xfId="20" applyFont="1" applyBorder="1" applyAlignment="1">
      <alignment horizontal="center" vertical="center"/>
      <protection/>
    </xf>
    <xf numFmtId="0" fontId="48" fillId="0" borderId="50" xfId="20" applyFont="1" applyBorder="1" applyAlignment="1">
      <alignment horizontal="center" vertical="center"/>
      <protection/>
    </xf>
    <xf numFmtId="0" fontId="48" fillId="6" borderId="55" xfId="20" applyFont="1" applyFill="1" applyBorder="1">
      <alignment/>
      <protection/>
    </xf>
    <xf numFmtId="0" fontId="48" fillId="6" borderId="29" xfId="20" applyFont="1" applyFill="1" applyBorder="1">
      <alignment/>
      <protection/>
    </xf>
    <xf numFmtId="0" fontId="48" fillId="7" borderId="29" xfId="20" applyFont="1" applyFill="1" applyBorder="1">
      <alignment/>
      <protection/>
    </xf>
    <xf numFmtId="0" fontId="48" fillId="7" borderId="40" xfId="20" applyFont="1" applyFill="1" applyBorder="1">
      <alignment/>
      <protection/>
    </xf>
    <xf numFmtId="0" fontId="1" fillId="0" borderId="56" xfId="20" applyNumberFormat="1" applyBorder="1" applyAlignment="1">
      <alignment horizontal="center" vertical="center"/>
      <protection/>
    </xf>
    <xf numFmtId="168" fontId="1" fillId="0" borderId="21" xfId="20" applyNumberFormat="1" applyBorder="1" applyAlignment="1">
      <alignment horizontal="center" vertical="center"/>
      <protection/>
    </xf>
    <xf numFmtId="167" fontId="1" fillId="0" borderId="0" xfId="20" applyNumberFormat="1" applyBorder="1" applyAlignment="1">
      <alignment vertical="center"/>
      <protection/>
    </xf>
    <xf numFmtId="167" fontId="1" fillId="0" borderId="24" xfId="20" applyNumberFormat="1" applyBorder="1" applyAlignment="1">
      <alignment vertical="center"/>
      <protection/>
    </xf>
    <xf numFmtId="43" fontId="0" fillId="0" borderId="0" xfId="21" applyFont="1"/>
    <xf numFmtId="167" fontId="1" fillId="0" borderId="49" xfId="20" applyNumberFormat="1" applyBorder="1" applyAlignment="1">
      <alignment vertical="center"/>
      <protection/>
    </xf>
    <xf numFmtId="167" fontId="1" fillId="0" borderId="57" xfId="20" applyNumberFormat="1" applyBorder="1" applyAlignment="1">
      <alignment vertical="center"/>
      <protection/>
    </xf>
    <xf numFmtId="0" fontId="48" fillId="0" borderId="55" xfId="20" applyNumberFormat="1" applyFont="1" applyBorder="1">
      <alignment/>
      <protection/>
    </xf>
    <xf numFmtId="0" fontId="1" fillId="0" borderId="29" xfId="20" applyBorder="1">
      <alignment/>
      <protection/>
    </xf>
    <xf numFmtId="167" fontId="1" fillId="0" borderId="29" xfId="20" applyNumberFormat="1" applyBorder="1">
      <alignment/>
      <protection/>
    </xf>
    <xf numFmtId="167" fontId="1" fillId="0" borderId="40" xfId="20" applyNumberFormat="1" applyBorder="1">
      <alignment/>
      <protection/>
    </xf>
    <xf numFmtId="0" fontId="1" fillId="0" borderId="0" xfId="20" applyNumberFormat="1" applyFill="1" applyBorder="1">
      <alignment/>
      <protection/>
    </xf>
    <xf numFmtId="0" fontId="48" fillId="0" borderId="0" xfId="20" applyNumberFormat="1" applyFont="1" applyFill="1" applyBorder="1">
      <alignment/>
      <protection/>
    </xf>
    <xf numFmtId="0" fontId="48" fillId="0" borderId="50" xfId="20" applyFont="1" applyBorder="1">
      <alignment/>
      <protection/>
    </xf>
    <xf numFmtId="167" fontId="1" fillId="0" borderId="21" xfId="20" applyNumberFormat="1" applyBorder="1" applyAlignment="1">
      <alignment horizontal="center" vertical="center"/>
      <protection/>
    </xf>
    <xf numFmtId="168" fontId="1" fillId="0" borderId="0" xfId="20" applyNumberFormat="1" applyBorder="1" applyAlignment="1">
      <alignment vertical="center"/>
      <protection/>
    </xf>
    <xf numFmtId="0" fontId="1" fillId="0" borderId="58" xfId="20" applyNumberFormat="1" applyFill="1" applyBorder="1" applyAlignment="1">
      <alignment horizontal="center" vertical="center"/>
      <protection/>
    </xf>
    <xf numFmtId="167" fontId="1" fillId="0" borderId="3" xfId="20" applyNumberFormat="1" applyBorder="1" applyAlignment="1">
      <alignment horizontal="center" vertical="center"/>
      <protection/>
    </xf>
    <xf numFmtId="0" fontId="48" fillId="0" borderId="27" xfId="20" applyNumberFormat="1" applyFont="1" applyFill="1" applyBorder="1" applyAlignment="1">
      <alignment horizontal="left" vertical="center"/>
      <protection/>
    </xf>
    <xf numFmtId="167" fontId="48" fillId="0" borderId="28" xfId="20" applyNumberFormat="1" applyFont="1" applyBorder="1" applyAlignment="1">
      <alignment horizontal="center" vertical="center"/>
      <protection/>
    </xf>
    <xf numFmtId="167" fontId="48" fillId="0" borderId="28" xfId="20" applyNumberFormat="1" applyFont="1" applyBorder="1" applyAlignment="1">
      <alignment vertical="center"/>
      <protection/>
    </xf>
    <xf numFmtId="167" fontId="48" fillId="0" borderId="30" xfId="20" applyNumberFormat="1" applyFont="1" applyBorder="1" applyAlignment="1">
      <alignment vertical="center"/>
      <protection/>
    </xf>
    <xf numFmtId="167" fontId="1" fillId="0" borderId="0" xfId="20" applyNumberFormat="1" applyFont="1" applyBorder="1" applyAlignment="1">
      <alignment horizontal="center" vertical="center"/>
      <protection/>
    </xf>
    <xf numFmtId="167" fontId="1" fillId="0" borderId="0" xfId="20" applyNumberFormat="1" applyFont="1" applyBorder="1" applyAlignment="1">
      <alignment vertical="center"/>
      <protection/>
    </xf>
    <xf numFmtId="0" fontId="1" fillId="0" borderId="0" xfId="20" applyFont="1">
      <alignment/>
      <protection/>
    </xf>
    <xf numFmtId="0" fontId="1" fillId="0" borderId="0" xfId="20" applyNumberFormat="1" applyFill="1" applyBorder="1" applyAlignment="1">
      <alignment horizontal="left" vertical="center"/>
      <protection/>
    </xf>
    <xf numFmtId="167" fontId="1" fillId="0" borderId="0" xfId="20" applyNumberFormat="1" applyBorder="1" applyAlignment="1">
      <alignment horizontal="center" vertical="center"/>
      <protection/>
    </xf>
    <xf numFmtId="0" fontId="1" fillId="0" borderId="58" xfId="20" applyNumberFormat="1" applyBorder="1" applyAlignment="1">
      <alignment horizontal="center" vertical="center"/>
      <protection/>
    </xf>
    <xf numFmtId="0" fontId="48" fillId="0" borderId="27" xfId="20" applyNumberFormat="1" applyFont="1" applyBorder="1" applyAlignment="1">
      <alignment horizontal="left" vertical="center"/>
      <protection/>
    </xf>
    <xf numFmtId="0" fontId="1" fillId="0" borderId="0" xfId="20" applyAlignment="1">
      <alignment vertical="center"/>
      <protection/>
    </xf>
    <xf numFmtId="0" fontId="1" fillId="0" borderId="59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48" fillId="0" borderId="16" xfId="20" applyFont="1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167" fontId="48" fillId="0" borderId="61" xfId="20" applyNumberFormat="1" applyFont="1" applyBorder="1" applyAlignment="1">
      <alignment vertical="center"/>
      <protection/>
    </xf>
    <xf numFmtId="0" fontId="49" fillId="0" borderId="27" xfId="20" applyFont="1" applyBorder="1" applyAlignment="1">
      <alignment vertical="center"/>
      <protection/>
    </xf>
    <xf numFmtId="0" fontId="49" fillId="0" borderId="28" xfId="20" applyFont="1" applyBorder="1" applyAlignment="1">
      <alignment vertical="center"/>
      <protection/>
    </xf>
    <xf numFmtId="167" fontId="48" fillId="6" borderId="51" xfId="20" applyNumberFormat="1" applyFont="1" applyFill="1" applyBorder="1" applyAlignment="1">
      <alignment vertical="center"/>
      <protection/>
    </xf>
    <xf numFmtId="167" fontId="48" fillId="7" borderId="51" xfId="20" applyNumberFormat="1" applyFont="1" applyFill="1" applyBorder="1" applyAlignment="1">
      <alignment vertical="center"/>
      <protection/>
    </xf>
    <xf numFmtId="167" fontId="48" fillId="7" borderId="62" xfId="20" applyNumberFormat="1" applyFont="1" applyFill="1" applyBorder="1" applyAlignment="1">
      <alignment vertical="center"/>
      <protection/>
    </xf>
    <xf numFmtId="0" fontId="50" fillId="0" borderId="0" xfId="20" applyFont="1" applyAlignment="1">
      <alignment vertical="center"/>
      <protection/>
    </xf>
    <xf numFmtId="0" fontId="49" fillId="0" borderId="31" xfId="20" applyFont="1" applyBorder="1" applyAlignment="1">
      <alignment vertical="center"/>
      <protection/>
    </xf>
    <xf numFmtId="0" fontId="51" fillId="0" borderId="30" xfId="20" applyFont="1" applyBorder="1" applyAlignment="1">
      <alignment vertical="center"/>
      <protection/>
    </xf>
    <xf numFmtId="0" fontId="1" fillId="0" borderId="30" xfId="20" applyBorder="1" applyAlignment="1">
      <alignment vertical="center"/>
      <protection/>
    </xf>
    <xf numFmtId="167" fontId="49" fillId="8" borderId="31" xfId="20" applyNumberFormat="1" applyFont="1" applyFill="1" applyBorder="1" applyAlignment="1">
      <alignment vertical="center"/>
      <protection/>
    </xf>
    <xf numFmtId="0" fontId="52" fillId="0" borderId="12" xfId="0" applyFont="1" applyBorder="1"/>
    <xf numFmtId="0" fontId="52" fillId="0" borderId="13" xfId="0" applyFont="1" applyBorder="1"/>
    <xf numFmtId="0" fontId="3" fillId="0" borderId="14" xfId="0" applyFont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166" fontId="3" fillId="0" borderId="5" xfId="16" applyNumberFormat="1" applyFont="1" applyFill="1" applyBorder="1" applyAlignment="1">
      <alignment horizontal="left"/>
    </xf>
    <xf numFmtId="0" fontId="14" fillId="0" borderId="0" xfId="0" applyFont="1"/>
    <xf numFmtId="167" fontId="48" fillId="0" borderId="0" xfId="20" applyNumberFormat="1" applyFont="1" applyBorder="1" applyAlignment="1">
      <alignment horizontal="center" vertical="center"/>
      <protection/>
    </xf>
    <xf numFmtId="167" fontId="48" fillId="0" borderId="0" xfId="20" applyNumberFormat="1" applyFont="1" applyBorder="1" applyAlignment="1">
      <alignment vertical="center"/>
      <protection/>
    </xf>
    <xf numFmtId="0" fontId="53" fillId="0" borderId="0" xfId="20" applyNumberFormat="1" applyFont="1" applyFill="1" applyBorder="1" applyAlignment="1">
      <alignment horizontal="left" vertical="center"/>
      <protection/>
    </xf>
    <xf numFmtId="0" fontId="53" fillId="0" borderId="0" xfId="20" applyNumberFormat="1" applyFont="1" applyBorder="1" applyAlignment="1">
      <alignment horizontal="left" vertical="center"/>
      <protection/>
    </xf>
    <xf numFmtId="166" fontId="0" fillId="0" borderId="0" xfId="0" applyNumberFormat="1" applyProtection="1">
      <protection locked="0"/>
    </xf>
    <xf numFmtId="166" fontId="3" fillId="0" borderId="0" xfId="0" applyNumberFormat="1" applyFont="1" applyFill="1" applyBorder="1" applyAlignment="1">
      <alignment horizontal="left"/>
    </xf>
    <xf numFmtId="0" fontId="33" fillId="0" borderId="49" xfId="0" applyFont="1" applyBorder="1" applyAlignment="1" applyProtection="1">
      <alignment horizontal="center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59" xfId="0" applyFont="1" applyBorder="1"/>
    <xf numFmtId="0" fontId="22" fillId="0" borderId="60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9" borderId="64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65" xfId="16" applyNumberFormat="1" applyFont="1" applyBorder="1" applyAlignment="1">
      <alignment horizontal="center"/>
    </xf>
    <xf numFmtId="166" fontId="2" fillId="0" borderId="66" xfId="16" applyNumberFormat="1" applyFont="1" applyBorder="1" applyAlignment="1">
      <alignment horizontal="center"/>
    </xf>
    <xf numFmtId="166" fontId="2" fillId="0" borderId="8" xfId="16" applyNumberFormat="1" applyFont="1" applyBorder="1" applyAlignment="1">
      <alignment horizontal="center"/>
    </xf>
    <xf numFmtId="166" fontId="2" fillId="0" borderId="67" xfId="16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3" fontId="11" fillId="0" borderId="0" xfId="0" applyNumberFormat="1" applyFont="1" applyAlignment="1">
      <alignment vertical="top" wrapText="1"/>
    </xf>
    <xf numFmtId="166" fontId="3" fillId="0" borderId="53" xfId="16" applyNumberFormat="1" applyFont="1" applyBorder="1" applyAlignment="1">
      <alignment horizontal="center"/>
    </xf>
    <xf numFmtId="166" fontId="3" fillId="0" borderId="57" xfId="16" applyNumberFormat="1" applyFont="1" applyBorder="1" applyAlignment="1">
      <alignment horizontal="center"/>
    </xf>
    <xf numFmtId="0" fontId="22" fillId="0" borderId="65" xfId="0" applyFont="1" applyFill="1" applyBorder="1" applyAlignment="1">
      <alignment horizontal="left"/>
    </xf>
    <xf numFmtId="0" fontId="22" fillId="0" borderId="68" xfId="0" applyFont="1" applyFill="1" applyBorder="1" applyAlignment="1">
      <alignment horizontal="left"/>
    </xf>
    <xf numFmtId="0" fontId="22" fillId="0" borderId="69" xfId="0" applyFont="1" applyFill="1" applyBorder="1" applyAlignment="1">
      <alignment horizontal="left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70" xfId="0" applyFont="1" applyBorder="1" applyAlignment="1">
      <alignment horizontal="center" wrapText="1"/>
    </xf>
    <xf numFmtId="0" fontId="22" fillId="0" borderId="62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71" xfId="16" applyNumberFormat="1" applyFont="1" applyBorder="1"/>
    <xf numFmtId="166" fontId="3" fillId="0" borderId="1" xfId="16" applyNumberFormat="1" applyFont="1" applyBorder="1"/>
    <xf numFmtId="166" fontId="3" fillId="0" borderId="72" xfId="16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44">
      <selection activeCell="C178" sqref="C17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" width="12.28125" style="105" bestFit="1" customWidth="1"/>
    <col min="17" max="16384" width="9.140625" style="105" customWidth="1"/>
  </cols>
  <sheetData>
    <row r="1" ht="18">
      <c r="C1" s="107"/>
    </row>
    <row r="2" spans="3:14" ht="23.25">
      <c r="C2" s="442" t="s">
        <v>60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157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6" t="s">
        <v>76</v>
      </c>
      <c r="E11" s="426"/>
      <c r="F11" s="427"/>
      <c r="G11" s="138" t="s">
        <v>158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0" t="s">
        <v>75</v>
      </c>
      <c r="E12" s="420"/>
      <c r="F12" s="421"/>
      <c r="G12" s="138" t="s">
        <v>159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0" t="s">
        <v>74</v>
      </c>
      <c r="E13" s="420"/>
      <c r="F13" s="421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6" t="s">
        <v>73</v>
      </c>
      <c r="E14" s="420"/>
      <c r="F14" s="421"/>
      <c r="G14" s="138" t="s">
        <v>161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0" t="s">
        <v>72</v>
      </c>
      <c r="E15" s="420"/>
      <c r="F15" s="421"/>
      <c r="G15" s="138" t="s">
        <v>162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0" t="s">
        <v>103</v>
      </c>
      <c r="E16" s="420"/>
      <c r="F16" s="240"/>
      <c r="G16" s="187" t="s">
        <v>163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0" t="s">
        <v>69</v>
      </c>
      <c r="E17" s="420"/>
      <c r="F17" s="421"/>
      <c r="G17" s="141">
        <v>10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6" t="s">
        <v>70</v>
      </c>
      <c r="E18" s="426"/>
      <c r="F18" s="427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26" t="s">
        <v>139</v>
      </c>
      <c r="E19" s="426"/>
      <c r="F19" s="42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4" t="s">
        <v>34</v>
      </c>
      <c r="H20" s="444"/>
      <c r="I20" s="44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 t="s">
        <v>171</v>
      </c>
      <c r="K21" s="146" t="s">
        <v>165</v>
      </c>
      <c r="L21" s="146">
        <v>5511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166</v>
      </c>
      <c r="H22" s="144"/>
      <c r="I22" s="145"/>
      <c r="J22" s="146" t="s">
        <v>170</v>
      </c>
      <c r="K22" s="146" t="s">
        <v>167</v>
      </c>
      <c r="L22" s="146">
        <v>4641</v>
      </c>
      <c r="O22" s="211"/>
    </row>
    <row r="23" spans="2:15" ht="15" thickBot="1">
      <c r="B23" s="210"/>
      <c r="C23" s="243"/>
      <c r="D23" s="245"/>
      <c r="E23" s="245"/>
      <c r="F23" s="245"/>
      <c r="G23" s="143" t="s">
        <v>168</v>
      </c>
      <c r="H23" s="144"/>
      <c r="I23" s="145"/>
      <c r="J23" s="146" t="s">
        <v>172</v>
      </c>
      <c r="K23" s="146" t="s">
        <v>165</v>
      </c>
      <c r="L23" s="335" t="s">
        <v>169</v>
      </c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173</v>
      </c>
      <c r="H29" s="186" t="s">
        <v>174</v>
      </c>
      <c r="I29" s="186" t="s">
        <v>175</v>
      </c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5" t="s">
        <v>125</v>
      </c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35" t="s">
        <v>144</v>
      </c>
      <c r="E39" s="435"/>
      <c r="F39" s="43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0" t="s">
        <v>77</v>
      </c>
      <c r="E40" s="440"/>
      <c r="F40" s="441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0" t="s">
        <v>78</v>
      </c>
      <c r="E41" s="440"/>
      <c r="F41" s="441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28" t="s">
        <v>209</v>
      </c>
      <c r="E43" s="429"/>
      <c r="F43" s="429"/>
      <c r="G43" s="429"/>
      <c r="H43" s="429"/>
      <c r="I43" s="43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1" t="s">
        <v>99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6" t="s">
        <v>20</v>
      </c>
      <c r="F57" s="44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22"/>
      <c r="F58" s="423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2" t="s">
        <v>84</v>
      </c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3"/>
      <c r="D69" s="443"/>
      <c r="E69" s="443"/>
      <c r="F69" s="44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0" t="s">
        <v>85</v>
      </c>
      <c r="F71" s="440"/>
      <c r="G71" s="440"/>
      <c r="H71" s="440"/>
      <c r="I71" s="440"/>
      <c r="J71" s="440"/>
      <c r="K71" s="440"/>
      <c r="L71" s="440"/>
      <c r="M71" s="440"/>
      <c r="N71" s="180"/>
      <c r="O71" s="211"/>
    </row>
    <row r="72" spans="2:15" ht="13.5" customHeight="1">
      <c r="B72" s="210"/>
      <c r="C72" s="268" t="s">
        <v>25</v>
      </c>
      <c r="D72" s="269"/>
      <c r="E72" s="424" t="s">
        <v>86</v>
      </c>
      <c r="F72" s="424"/>
      <c r="G72" s="424"/>
      <c r="H72" s="424"/>
      <c r="I72" s="424"/>
      <c r="J72" s="424"/>
      <c r="K72" s="424"/>
      <c r="L72" s="424"/>
      <c r="M72" s="424"/>
      <c r="N72" s="181"/>
      <c r="O72" s="211"/>
    </row>
    <row r="73" spans="2:15" ht="14.25">
      <c r="B73" s="210"/>
      <c r="C73" s="268" t="s">
        <v>53</v>
      </c>
      <c r="D73" s="269"/>
      <c r="E73" s="424" t="s">
        <v>87</v>
      </c>
      <c r="F73" s="425"/>
      <c r="G73" s="425"/>
      <c r="H73" s="425"/>
      <c r="I73" s="425"/>
      <c r="J73" s="425"/>
      <c r="K73" s="425"/>
      <c r="L73" s="425"/>
      <c r="M73" s="425"/>
      <c r="N73" s="179"/>
      <c r="O73" s="211"/>
    </row>
    <row r="74" spans="2:15" ht="14.25">
      <c r="B74" s="210"/>
      <c r="C74" s="434" t="s">
        <v>55</v>
      </c>
      <c r="D74" s="434"/>
      <c r="E74" s="424" t="s">
        <v>88</v>
      </c>
      <c r="F74" s="425"/>
      <c r="G74" s="425"/>
      <c r="H74" s="425"/>
      <c r="I74" s="425"/>
      <c r="J74" s="425"/>
      <c r="K74" s="425"/>
      <c r="L74" s="425"/>
      <c r="M74" s="425"/>
      <c r="N74" s="179"/>
      <c r="O74" s="211"/>
    </row>
    <row r="75" spans="2:15" ht="14.25" customHeight="1">
      <c r="B75" s="210"/>
      <c r="C75" s="438" t="s">
        <v>56</v>
      </c>
      <c r="D75" s="438"/>
      <c r="E75" s="424" t="s">
        <v>89</v>
      </c>
      <c r="F75" s="424"/>
      <c r="G75" s="424"/>
      <c r="H75" s="424"/>
      <c r="I75" s="424"/>
      <c r="J75" s="424"/>
      <c r="K75" s="424"/>
      <c r="L75" s="424"/>
      <c r="M75" s="424"/>
      <c r="N75" s="181"/>
      <c r="O75" s="211"/>
    </row>
    <row r="76" spans="2:15" ht="14.25">
      <c r="B76" s="210"/>
      <c r="C76" s="434" t="s">
        <v>57</v>
      </c>
      <c r="D76" s="434"/>
      <c r="E76" s="424"/>
      <c r="F76" s="425"/>
      <c r="G76" s="425"/>
      <c r="H76" s="425"/>
      <c r="I76" s="425"/>
      <c r="J76" s="425"/>
      <c r="K76" s="425"/>
      <c r="L76" s="425"/>
      <c r="M76" s="425"/>
      <c r="N76" s="179"/>
      <c r="O76" s="211"/>
    </row>
    <row r="77" spans="2:15" ht="15" customHeight="1">
      <c r="B77" s="210"/>
      <c r="C77" s="439" t="s">
        <v>26</v>
      </c>
      <c r="D77" s="439"/>
      <c r="E77" s="424" t="s">
        <v>90</v>
      </c>
      <c r="F77" s="425"/>
      <c r="G77" s="425"/>
      <c r="H77" s="425"/>
      <c r="I77" s="425"/>
      <c r="J77" s="425"/>
      <c r="K77" s="425"/>
      <c r="L77" s="425"/>
      <c r="M77" s="42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 t="s">
        <v>173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07" t="s">
        <v>40</v>
      </c>
      <c r="D81" s="407"/>
      <c r="E81" s="406" t="s">
        <v>22</v>
      </c>
      <c r="F81" s="40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6" ht="15" thickBot="1">
      <c r="B84" s="210"/>
      <c r="C84" s="273" t="s">
        <v>53</v>
      </c>
      <c r="D84" s="274"/>
      <c r="E84" s="153" t="s">
        <v>214</v>
      </c>
      <c r="F84" s="154"/>
      <c r="G84" s="155">
        <v>116378</v>
      </c>
      <c r="H84" s="151">
        <v>233807</v>
      </c>
      <c r="I84" s="152">
        <v>239883</v>
      </c>
      <c r="J84" s="151">
        <v>245995</v>
      </c>
      <c r="K84" s="151">
        <v>252399</v>
      </c>
      <c r="L84" s="151">
        <v>258842</v>
      </c>
      <c r="M84" s="151">
        <v>1266480</v>
      </c>
      <c r="N84" s="193"/>
      <c r="O84" s="211"/>
      <c r="P84" s="404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08" t="s">
        <v>56</v>
      </c>
      <c r="D86" s="40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2" t="s">
        <v>26</v>
      </c>
      <c r="D88" s="41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 t="s">
        <v>166</v>
      </c>
      <c r="F91" s="121"/>
      <c r="G91" s="243" t="s">
        <v>11</v>
      </c>
      <c r="H91" s="119"/>
      <c r="I91" s="160" t="s">
        <v>174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07" t="s">
        <v>40</v>
      </c>
      <c r="D92" s="407"/>
      <c r="E92" s="406" t="s">
        <v>22</v>
      </c>
      <c r="F92" s="40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6" ht="15" thickBot="1">
      <c r="B95" s="210"/>
      <c r="C95" s="273" t="s">
        <v>53</v>
      </c>
      <c r="D95" s="274"/>
      <c r="E95" s="153" t="s">
        <v>214</v>
      </c>
      <c r="F95" s="154"/>
      <c r="G95" s="155">
        <v>181707</v>
      </c>
      <c r="H95" s="151">
        <v>365055</v>
      </c>
      <c r="I95" s="152">
        <v>374540</v>
      </c>
      <c r="J95" s="151">
        <v>384083</v>
      </c>
      <c r="K95" s="151">
        <v>394083</v>
      </c>
      <c r="L95" s="151">
        <v>404142</v>
      </c>
      <c r="M95" s="151">
        <v>1977415</v>
      </c>
      <c r="N95" s="193"/>
      <c r="O95" s="211"/>
      <c r="P95" s="404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08" t="s">
        <v>56</v>
      </c>
      <c r="D97" s="40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2" t="s">
        <v>26</v>
      </c>
      <c r="D99" s="41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 t="s">
        <v>168</v>
      </c>
      <c r="F102" s="121"/>
      <c r="G102" s="243" t="s">
        <v>11</v>
      </c>
      <c r="H102" s="119"/>
      <c r="I102" s="160" t="s">
        <v>175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07" t="s">
        <v>40</v>
      </c>
      <c r="D103" s="407"/>
      <c r="E103" s="406" t="s">
        <v>22</v>
      </c>
      <c r="F103" s="40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6" ht="15" thickBot="1">
      <c r="B106" s="210"/>
      <c r="C106" s="273" t="s">
        <v>53</v>
      </c>
      <c r="D106" s="274"/>
      <c r="E106" s="153" t="s">
        <v>214</v>
      </c>
      <c r="F106" s="154"/>
      <c r="G106" s="155">
        <v>66205</v>
      </c>
      <c r="H106" s="151">
        <v>133007</v>
      </c>
      <c r="I106" s="152">
        <v>136463</v>
      </c>
      <c r="J106" s="151">
        <v>139940</v>
      </c>
      <c r="K106" s="151">
        <v>143584</v>
      </c>
      <c r="L106" s="151">
        <v>147249</v>
      </c>
      <c r="M106" s="151">
        <v>720468</v>
      </c>
      <c r="N106" s="193"/>
      <c r="O106" s="211"/>
      <c r="P106" s="404"/>
    </row>
    <row r="107" spans="2:15" ht="15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08" t="s">
        <v>56</v>
      </c>
      <c r="D108" s="40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2" t="s">
        <v>26</v>
      </c>
      <c r="D110" s="41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407" t="s">
        <v>40</v>
      </c>
      <c r="D114" s="407"/>
      <c r="E114" s="406" t="s">
        <v>22</v>
      </c>
      <c r="F114" s="40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16" t="s">
        <v>55</v>
      </c>
      <c r="D118" s="41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14" t="s">
        <v>56</v>
      </c>
      <c r="D119" s="41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16" t="s">
        <v>57</v>
      </c>
      <c r="D120" s="41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18" t="s">
        <v>26</v>
      </c>
      <c r="D121" s="41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407" t="s">
        <v>40</v>
      </c>
      <c r="D125" s="407"/>
      <c r="E125" s="406" t="s">
        <v>22</v>
      </c>
      <c r="F125" s="40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16" t="s">
        <v>55</v>
      </c>
      <c r="D129" s="41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14" t="s">
        <v>56</v>
      </c>
      <c r="D130" s="41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16" t="s">
        <v>57</v>
      </c>
      <c r="D131" s="41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18" t="s">
        <v>26</v>
      </c>
      <c r="D132" s="41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407" t="s">
        <v>40</v>
      </c>
      <c r="D136" s="407"/>
      <c r="E136" s="406" t="s">
        <v>22</v>
      </c>
      <c r="F136" s="40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16" t="s">
        <v>55</v>
      </c>
      <c r="D140" s="41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14" t="s">
        <v>56</v>
      </c>
      <c r="D141" s="41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16" t="s">
        <v>57</v>
      </c>
      <c r="D142" s="41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18" t="s">
        <v>26</v>
      </c>
      <c r="D143" s="41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25" t="s">
        <v>100</v>
      </c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179"/>
      <c r="O148" s="224"/>
      <c r="P148" s="225"/>
      <c r="Q148" s="225"/>
    </row>
    <row r="149" spans="2:17" ht="12.75" customHeight="1">
      <c r="B149" s="210"/>
      <c r="C149" s="425" t="s">
        <v>132</v>
      </c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37" t="s">
        <v>18</v>
      </c>
      <c r="D155" s="437" t="s">
        <v>39</v>
      </c>
      <c r="E155" s="447" t="s">
        <v>23</v>
      </c>
      <c r="F155" s="44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6"/>
      <c r="D156" s="406"/>
      <c r="E156" s="448"/>
      <c r="F156" s="4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0" t="s">
        <v>149</v>
      </c>
      <c r="G171" s="451"/>
      <c r="H171" s="451"/>
      <c r="I171" s="451"/>
      <c r="J171" s="451"/>
      <c r="K171" s="451"/>
      <c r="L171" s="451"/>
      <c r="M171" s="451"/>
      <c r="N171" s="45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5" t="s">
        <v>155</v>
      </c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179"/>
      <c r="O173" s="224"/>
    </row>
    <row r="174" spans="2:15" ht="34.5" customHeight="1" thickBot="1">
      <c r="B174" s="210"/>
      <c r="C174" s="453" t="s">
        <v>210</v>
      </c>
      <c r="D174" s="454"/>
      <c r="E174" s="454"/>
      <c r="F174" s="454"/>
      <c r="G174" s="454"/>
      <c r="H174" s="454"/>
      <c r="I174" s="454"/>
      <c r="J174" s="454"/>
      <c r="K174" s="454"/>
      <c r="L174" s="454"/>
      <c r="M174" s="454"/>
      <c r="N174" s="455"/>
      <c r="O174" s="224"/>
    </row>
    <row r="175" spans="2:15" ht="34.5" customHeight="1" thickBot="1">
      <c r="B175" s="210"/>
      <c r="C175" s="456" t="s">
        <v>211</v>
      </c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8"/>
      <c r="O175" s="224"/>
    </row>
    <row r="176" spans="2:15" ht="34.5" customHeight="1" thickBot="1">
      <c r="B176" s="210"/>
      <c r="C176" s="456" t="s">
        <v>208</v>
      </c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8"/>
      <c r="O176" s="224"/>
    </row>
    <row r="177" spans="2:15" ht="34.5" customHeight="1" thickBot="1">
      <c r="B177" s="210"/>
      <c r="C177" s="456" t="s">
        <v>215</v>
      </c>
      <c r="D177" s="457"/>
      <c r="E177" s="457"/>
      <c r="F177" s="457"/>
      <c r="G177" s="457"/>
      <c r="H177" s="457"/>
      <c r="I177" s="457"/>
      <c r="J177" s="457"/>
      <c r="K177" s="457"/>
      <c r="L177" s="457"/>
      <c r="M177" s="457"/>
      <c r="N177" s="45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25" t="s">
        <v>156</v>
      </c>
      <c r="D179" s="425"/>
      <c r="E179" s="425"/>
      <c r="F179" s="425"/>
      <c r="G179" s="425"/>
      <c r="H179" s="425"/>
      <c r="I179" s="425"/>
      <c r="J179" s="425"/>
      <c r="K179" s="425"/>
      <c r="L179" s="425"/>
      <c r="M179" s="42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49"/>
      <c r="D202" s="449"/>
      <c r="E202" s="449"/>
      <c r="F202" s="449"/>
      <c r="G202" s="449"/>
      <c r="H202" s="449"/>
      <c r="I202" s="449"/>
      <c r="J202" s="449"/>
      <c r="K202" s="449"/>
      <c r="L202" s="449"/>
      <c r="M202" s="449"/>
      <c r="N202" s="449"/>
      <c r="O202" s="449"/>
      <c r="P202" s="449"/>
      <c r="Q202" s="44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1040349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1001074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 t="str">
        <f>I29</f>
        <v>1000966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5">
      <selection activeCell="A1" sqref="A1:S1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89" t="s">
        <v>31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1"/>
    </row>
    <row r="4" spans="1:20" ht="3" customHeight="1" thickBot="1" thickTop="1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1"/>
    </row>
    <row r="5" spans="1:19" ht="13.5">
      <c r="A5" s="484" t="s">
        <v>7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3"/>
    </row>
    <row r="6" spans="1:20" ht="13.5">
      <c r="A6" s="480" t="s">
        <v>0</v>
      </c>
      <c r="B6" s="481"/>
      <c r="C6" s="479" t="str">
        <f>IF('2a.  Simple Form Data Entry'!G11="","   ",'2a.  Simple Form Data Entry'!G11)</f>
        <v>Graybar Building Lease</v>
      </c>
      <c r="D6" s="479"/>
      <c r="E6" s="479"/>
      <c r="F6" s="479"/>
      <c r="G6" s="479"/>
      <c r="H6" s="479"/>
      <c r="I6" s="479"/>
      <c r="J6" s="479"/>
      <c r="L6" s="293" t="s">
        <v>16</v>
      </c>
      <c r="M6" s="293"/>
      <c r="O6" s="72"/>
      <c r="Q6" s="72"/>
      <c r="R6" s="319">
        <f>IF('2a.  Simple Form Data Entry'!G17="","   ",'2a.  Simple Form Data Entry'!G17)</f>
        <v>10</v>
      </c>
      <c r="S6" s="71" t="s">
        <v>17</v>
      </c>
      <c r="T6" s="11"/>
    </row>
    <row r="7" spans="1:20" ht="13.5" customHeight="1">
      <c r="A7" s="485" t="s">
        <v>152</v>
      </c>
      <c r="B7" s="476"/>
      <c r="C7" s="486" t="str">
        <f>IF('2a.  Simple Form Data Entry'!G12="","   ",'2a.  Simple Form Data Entry'!G12)</f>
        <v>FMD; Transit; Records &amp; Licensing</v>
      </c>
      <c r="D7" s="486"/>
      <c r="E7" s="486"/>
      <c r="F7" s="486"/>
      <c r="G7" s="486"/>
      <c r="H7" s="486"/>
      <c r="I7" s="486"/>
      <c r="J7" s="48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77" t="s">
        <v>2</v>
      </c>
      <c r="B8" s="478"/>
      <c r="C8" s="292" t="str">
        <f>IF('2a.  Simple Form Data Entry'!G15="","   ",'2a.  Simple Form Data Entry'!G15)</f>
        <v>Carolyn Mock / Mark Zandberg</v>
      </c>
      <c r="E8" s="292"/>
      <c r="F8" s="478" t="s">
        <v>8</v>
      </c>
      <c r="G8" s="478"/>
      <c r="H8" s="329" t="str">
        <f>IF('2a.  Simple Form Data Entry'!G15=""," ",'2a.  Simple Form Data Entry'!G16)</f>
        <v>7/23/19</v>
      </c>
      <c r="I8" s="292"/>
      <c r="J8" s="292"/>
      <c r="L8" s="476" t="s">
        <v>10</v>
      </c>
      <c r="M8" s="476"/>
      <c r="N8" s="476"/>
      <c r="O8" s="476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77" t="s">
        <v>3</v>
      </c>
      <c r="B9" s="478"/>
      <c r="C9" s="295"/>
      <c r="D9" s="292"/>
      <c r="E9" s="292"/>
      <c r="F9" s="478" t="s">
        <v>13</v>
      </c>
      <c r="G9" s="478"/>
      <c r="H9" s="292"/>
      <c r="I9" s="292"/>
      <c r="J9" s="292"/>
      <c r="L9" s="476" t="s">
        <v>9</v>
      </c>
      <c r="M9" s="476"/>
      <c r="N9" s="476"/>
      <c r="O9" s="47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523" t="str">
        <f>IF('2a.  Simple Form Data Entry'!G10=""," ",'2a.  Simple Form Data Entry'!G10)</f>
        <v>Graybar Building Lease Renewal</v>
      </c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4"/>
      <c r="T10" s="11"/>
    </row>
    <row r="11" spans="1:20" ht="13.5" thickBot="1">
      <c r="A11" s="332"/>
      <c r="B11" s="333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89" t="s">
        <v>14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90" t="s">
        <v>32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94" t="s">
        <v>145</v>
      </c>
      <c r="B17" s="494"/>
      <c r="C17" s="494"/>
      <c r="D17" s="494"/>
      <c r="E17" s="491" t="str">
        <f>IF('2a.  Simple Form Data Entry'!G39="N","NA",'2a.  Simple Form Data Entry'!G40)</f>
        <v>NA</v>
      </c>
      <c r="F17" s="492"/>
      <c r="G17" s="493"/>
      <c r="H17" s="530" t="s">
        <v>153</v>
      </c>
      <c r="I17" s="531"/>
      <c r="J17" s="531"/>
      <c r="K17" s="531"/>
      <c r="L17" s="531"/>
      <c r="M17" s="531"/>
      <c r="N17" s="310"/>
      <c r="O17" s="527" t="str">
        <f>IF('2a.  Simple Form Data Entry'!G39="N","NA",'2a.  Simple Form Data Entry'!G41)</f>
        <v>NA</v>
      </c>
      <c r="P17" s="528"/>
      <c r="Q17" s="528"/>
      <c r="R17" s="528"/>
      <c r="S17" s="52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90" t="s">
        <v>33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516" t="str">
        <f>IF('2a.  Simple Form Data Entry'!E80="","   ",'2a.  Simple Form Data Entry'!E80)</f>
        <v>FMD</v>
      </c>
      <c r="B35" s="517"/>
      <c r="C35" s="51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A60000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DES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5511</v>
      </c>
      <c r="G35" s="79" t="str">
        <f>IF('2a.  Simple Form Data Entry'!I80="","   ",'2a.  Simple Form Data Entry'!I80)</f>
        <v>1040349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Rent, Operating Costs, Additional Rent</v>
      </c>
      <c r="I38" s="80">
        <f>'2a.  Simple Form Data Entry'!N84</f>
        <v>0</v>
      </c>
      <c r="J38" s="80">
        <f>'2a.  Simple Form Data Entry'!G84</f>
        <v>116378</v>
      </c>
      <c r="K38" s="80">
        <f>'2a.  Simple Form Data Entry'!H84</f>
        <v>233807</v>
      </c>
      <c r="L38" s="80">
        <f t="shared" si="7"/>
        <v>350185</v>
      </c>
      <c r="M38" s="80">
        <f>'2a.  Simple Form Data Entry'!I84</f>
        <v>239883</v>
      </c>
      <c r="N38" s="80">
        <f>'2a.  Simple Form Data Entry'!J84</f>
        <v>245995</v>
      </c>
      <c r="O38" s="80">
        <f t="shared" si="5"/>
        <v>485878</v>
      </c>
      <c r="P38" s="80">
        <f>'2a.  Simple Form Data Entry'!K84</f>
        <v>252399</v>
      </c>
      <c r="Q38" s="80">
        <f>'2a.  Simple Form Data Entry'!L84</f>
        <v>258842</v>
      </c>
      <c r="R38" s="80">
        <f t="shared" si="6"/>
        <v>511241</v>
      </c>
      <c r="S38" s="83">
        <f>'2a.  Simple Form Data Entry'!M84</f>
        <v>1266480</v>
      </c>
      <c r="T38" s="12"/>
    </row>
    <row r="39" spans="1:20" ht="13.5" customHeight="1">
      <c r="A39" s="16"/>
      <c r="B39" s="472" t="s">
        <v>55</v>
      </c>
      <c r="C39" s="47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59" t="s">
        <v>56</v>
      </c>
      <c r="C40" s="46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72" t="s">
        <v>57</v>
      </c>
      <c r="C41" s="47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61" t="s">
        <v>26</v>
      </c>
      <c r="C42" s="46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116378</v>
      </c>
      <c r="K43" s="63">
        <f t="shared" si="8"/>
        <v>233807</v>
      </c>
      <c r="L43" s="63">
        <f t="shared" si="7"/>
        <v>350185</v>
      </c>
      <c r="M43" s="63">
        <f t="shared" si="8"/>
        <v>239883</v>
      </c>
      <c r="N43" s="63">
        <f t="shared" si="8"/>
        <v>245995</v>
      </c>
      <c r="O43" s="63">
        <f t="shared" si="5"/>
        <v>485878</v>
      </c>
      <c r="P43" s="63">
        <f aca="true" t="shared" si="9" ref="P43:Q43">SUM(P36:P42)</f>
        <v>252399</v>
      </c>
      <c r="Q43" s="63">
        <f t="shared" si="9"/>
        <v>258842</v>
      </c>
      <c r="R43" s="63">
        <f t="shared" si="6"/>
        <v>511241</v>
      </c>
      <c r="S43" s="64">
        <f t="shared" si="8"/>
        <v>1266480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3" t="str">
        <f>IF('2a.  Simple Form Data Entry'!E91="","   ",'2a.  Simple Form Data Entry'!E91)</f>
        <v>Transit</v>
      </c>
      <c r="B45" s="464"/>
      <c r="C45" s="46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A46400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Metro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4641</v>
      </c>
      <c r="G45" s="79" t="str">
        <f>IF('2a.  Simple Form Data Entry'!I91="","   ",'2a.  Simple Form Data Entry'!I91)</f>
        <v>1001074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>Rent, Operating Costs, Additional Rent</v>
      </c>
      <c r="I48" s="81">
        <f>'2a.  Simple Form Data Entry'!N95</f>
        <v>0</v>
      </c>
      <c r="J48" s="81">
        <f>'2a.  Simple Form Data Entry'!G95</f>
        <v>181707</v>
      </c>
      <c r="K48" s="81">
        <f>'2a.  Simple Form Data Entry'!H95</f>
        <v>365055</v>
      </c>
      <c r="L48" s="80">
        <f t="shared" si="10"/>
        <v>546762</v>
      </c>
      <c r="M48" s="81">
        <f>'2a.  Simple Form Data Entry'!I95</f>
        <v>374540</v>
      </c>
      <c r="N48" s="81">
        <f>'2a.  Simple Form Data Entry'!J95</f>
        <v>384083</v>
      </c>
      <c r="O48" s="80">
        <f t="shared" si="11"/>
        <v>758623</v>
      </c>
      <c r="P48" s="81">
        <f>'2a.  Simple Form Data Entry'!K95</f>
        <v>394083</v>
      </c>
      <c r="Q48" s="81">
        <f>'2a.  Simple Form Data Entry'!L95</f>
        <v>404142</v>
      </c>
      <c r="R48" s="80">
        <f t="shared" si="12"/>
        <v>798225</v>
      </c>
      <c r="S48" s="83">
        <f>'2a.  Simple Form Data Entry'!M95</f>
        <v>1977415</v>
      </c>
      <c r="T48" s="12"/>
    </row>
    <row r="49" spans="1:20" ht="13.5" customHeight="1">
      <c r="A49" s="19"/>
      <c r="B49" s="472" t="s">
        <v>55</v>
      </c>
      <c r="C49" s="47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59" t="s">
        <v>56</v>
      </c>
      <c r="C50" s="46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72" t="s">
        <v>57</v>
      </c>
      <c r="C51" s="47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61" t="s">
        <v>26</v>
      </c>
      <c r="C52" s="46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181707</v>
      </c>
      <c r="K53" s="63">
        <f t="shared" si="13"/>
        <v>365055</v>
      </c>
      <c r="L53" s="63">
        <f t="shared" si="10"/>
        <v>546762</v>
      </c>
      <c r="M53" s="63">
        <f t="shared" si="13"/>
        <v>374540</v>
      </c>
      <c r="N53" s="63">
        <f t="shared" si="13"/>
        <v>384083</v>
      </c>
      <c r="O53" s="63">
        <f t="shared" si="11"/>
        <v>758623</v>
      </c>
      <c r="P53" s="63">
        <f aca="true" t="shared" si="14" ref="P53:Q53">SUM(P46:P52)</f>
        <v>394083</v>
      </c>
      <c r="Q53" s="63">
        <f t="shared" si="14"/>
        <v>404142</v>
      </c>
      <c r="R53" s="63">
        <f t="shared" si="12"/>
        <v>798225</v>
      </c>
      <c r="S53" s="64">
        <f t="shared" si="13"/>
        <v>1977415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63" t="str">
        <f>IF('2a.  Simple Form Data Entry'!E102="","   ",'2a.  Simple Form Data Entry'!E102)</f>
        <v>RALS</v>
      </c>
      <c r="B55" s="464"/>
      <c r="C55" s="46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>A47000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>DES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>0010</v>
      </c>
      <c r="G55" s="79" t="str">
        <f>IF('2a.  Simple Form Data Entry'!I102="","   ",'2a.  Simple Form Data Entry'!I102)</f>
        <v>1000966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>Rent, Operating Costs, Additional Rent</v>
      </c>
      <c r="I58" s="81">
        <f>'2a.  Simple Form Data Entry'!N106</f>
        <v>0</v>
      </c>
      <c r="J58" s="81">
        <f>'2a.  Simple Form Data Entry'!G106</f>
        <v>66205</v>
      </c>
      <c r="K58" s="81">
        <f>'2a.  Simple Form Data Entry'!H106</f>
        <v>133007</v>
      </c>
      <c r="L58" s="80">
        <f t="shared" si="10"/>
        <v>199212</v>
      </c>
      <c r="M58" s="81">
        <f>'2a.  Simple Form Data Entry'!I106</f>
        <v>136463</v>
      </c>
      <c r="N58" s="81">
        <f>'2a.  Simple Form Data Entry'!J106</f>
        <v>139940</v>
      </c>
      <c r="O58" s="80">
        <f t="shared" si="11"/>
        <v>276403</v>
      </c>
      <c r="P58" s="81">
        <f>'2a.  Simple Form Data Entry'!K106</f>
        <v>143584</v>
      </c>
      <c r="Q58" s="81">
        <f>'2a.  Simple Form Data Entry'!L106</f>
        <v>147249</v>
      </c>
      <c r="R58" s="80">
        <f t="shared" si="12"/>
        <v>290833</v>
      </c>
      <c r="S58" s="83">
        <f>'2a.  Simple Form Data Entry'!M106</f>
        <v>720468</v>
      </c>
      <c r="T58" s="12"/>
    </row>
    <row r="59" spans="1:20" ht="13.5" customHeight="1">
      <c r="A59" s="19"/>
      <c r="B59" s="472" t="s">
        <v>55</v>
      </c>
      <c r="C59" s="47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>
      <c r="A60" s="19"/>
      <c r="B60" s="459" t="s">
        <v>56</v>
      </c>
      <c r="C60" s="46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>
      <c r="A61" s="19"/>
      <c r="B61" s="472" t="s">
        <v>57</v>
      </c>
      <c r="C61" s="47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>
      <c r="A62" s="19"/>
      <c r="B62" s="461" t="s">
        <v>26</v>
      </c>
      <c r="C62" s="46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s="399" customFormat="1" ht="16.5" customHeight="1">
      <c r="A63" s="393"/>
      <c r="B63" s="394"/>
      <c r="C63" s="395" t="s">
        <v>12</v>
      </c>
      <c r="D63" s="396"/>
      <c r="E63" s="396"/>
      <c r="F63" s="396"/>
      <c r="G63" s="396"/>
      <c r="H63" s="397"/>
      <c r="I63" s="63">
        <f aca="true" t="shared" si="15" ref="I63:S63">SUM(I56:I62)</f>
        <v>0</v>
      </c>
      <c r="J63" s="63">
        <f t="shared" si="15"/>
        <v>66205</v>
      </c>
      <c r="K63" s="63">
        <f t="shared" si="15"/>
        <v>133007</v>
      </c>
      <c r="L63" s="398">
        <f t="shared" si="10"/>
        <v>199212</v>
      </c>
      <c r="M63" s="63">
        <f t="shared" si="15"/>
        <v>136463</v>
      </c>
      <c r="N63" s="63">
        <f t="shared" si="15"/>
        <v>139940</v>
      </c>
      <c r="O63" s="398">
        <f t="shared" si="11"/>
        <v>276403</v>
      </c>
      <c r="P63" s="63">
        <f aca="true" t="shared" si="16" ref="P63:Q63">SUM(P56:P62)</f>
        <v>143584</v>
      </c>
      <c r="Q63" s="63">
        <f t="shared" si="16"/>
        <v>147249</v>
      </c>
      <c r="R63" s="398">
        <f t="shared" si="12"/>
        <v>290833</v>
      </c>
      <c r="S63" s="64">
        <f t="shared" si="15"/>
        <v>720468</v>
      </c>
      <c r="T63" s="405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63" t="str">
        <f>IF('2a.  Simple Form Data Entry'!E113="","   ",'2a.  Simple Form Data Entry'!E113)</f>
        <v xml:space="preserve">   </v>
      </c>
      <c r="B65" s="464"/>
      <c r="C65" s="46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72" t="s">
        <v>55</v>
      </c>
      <c r="C69" s="47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59" t="s">
        <v>56</v>
      </c>
      <c r="C70" s="46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72" t="s">
        <v>57</v>
      </c>
      <c r="C71" s="47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61" t="s">
        <v>26</v>
      </c>
      <c r="C72" s="46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63" t="str">
        <f>IF('2a.  Simple Form Data Entry'!E124="","   ",'2a.  Simple Form Data Entry'!E124)</f>
        <v xml:space="preserve">   </v>
      </c>
      <c r="B75" s="464"/>
      <c r="C75" s="46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72" t="s">
        <v>55</v>
      </c>
      <c r="C79" s="47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59" t="s">
        <v>56</v>
      </c>
      <c r="C80" s="46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72" t="s">
        <v>57</v>
      </c>
      <c r="C81" s="47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61" t="s">
        <v>26</v>
      </c>
      <c r="C82" s="46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63" t="str">
        <f>IF('2a.  Simple Form Data Entry'!E135="","   ",'2a.  Simple Form Data Entry'!E135)</f>
        <v xml:space="preserve">   </v>
      </c>
      <c r="B85" s="464"/>
      <c r="C85" s="46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72" t="s">
        <v>55</v>
      </c>
      <c r="C89" s="47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59" t="s">
        <v>56</v>
      </c>
      <c r="C90" s="46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72" t="s">
        <v>57</v>
      </c>
      <c r="C91" s="47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61" t="s">
        <v>26</v>
      </c>
      <c r="C92" s="46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2.25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364290</v>
      </c>
      <c r="K95" s="56">
        <f t="shared" si="23"/>
        <v>731869</v>
      </c>
      <c r="L95" s="56">
        <f t="shared" si="10"/>
        <v>1096159</v>
      </c>
      <c r="M95" s="56">
        <f t="shared" si="23"/>
        <v>750886</v>
      </c>
      <c r="N95" s="56">
        <f t="shared" si="23"/>
        <v>770018</v>
      </c>
      <c r="O95" s="56">
        <f t="shared" si="11"/>
        <v>1520904</v>
      </c>
      <c r="P95" s="56">
        <f aca="true" t="shared" si="24" ref="P95:Q95">P73+P63+P53+P43+P83+P93</f>
        <v>790066</v>
      </c>
      <c r="Q95" s="56">
        <f t="shared" si="24"/>
        <v>810233</v>
      </c>
      <c r="R95" s="56">
        <f t="shared" si="12"/>
        <v>1600299</v>
      </c>
      <c r="S95" s="65">
        <f t="shared" si="23"/>
        <v>3964363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>
        <f>+L95+O95+R95+S95</f>
        <v>8181725</v>
      </c>
    </row>
    <row r="97" spans="1:20" ht="22.5" customHeight="1" thickBot="1" thickTop="1">
      <c r="A97" s="488" t="s">
        <v>15</v>
      </c>
      <c r="B97" s="488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488"/>
      <c r="Q97" s="488"/>
      <c r="R97" s="488"/>
      <c r="S97" s="48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6" t="s">
        <v>18</v>
      </c>
      <c r="B101" s="467"/>
      <c r="C101" s="468"/>
      <c r="D101" s="497" t="s">
        <v>19</v>
      </c>
      <c r="E101" s="497" t="s">
        <v>5</v>
      </c>
      <c r="F101" s="519" t="s">
        <v>104</v>
      </c>
      <c r="G101" s="497" t="s">
        <v>11</v>
      </c>
      <c r="H101" s="510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521" t="str">
        <f>CONCATENATE(L24," Appropriation Change")</f>
        <v>2019 / 2020 Appropriation Change</v>
      </c>
      <c r="P101" s="42"/>
      <c r="Q101" s="314"/>
      <c r="R101" s="503" t="s">
        <v>137</v>
      </c>
      <c r="S101" s="504"/>
      <c r="T101" s="42"/>
    </row>
    <row r="102" spans="1:20" ht="27.75" customHeight="1" thickBot="1">
      <c r="A102" s="469"/>
      <c r="B102" s="470"/>
      <c r="C102" s="471"/>
      <c r="D102" s="498"/>
      <c r="E102" s="498"/>
      <c r="F102" s="520"/>
      <c r="G102" s="498"/>
      <c r="H102" s="511"/>
      <c r="I102" s="316"/>
      <c r="J102" s="191" t="s">
        <v>24</v>
      </c>
      <c r="K102" s="287" t="str">
        <f>'2a.  Simple Form Data Entry'!H156</f>
        <v>Allocation Change</v>
      </c>
      <c r="L102" s="522"/>
      <c r="P102" s="42"/>
      <c r="Q102" s="314"/>
      <c r="R102" s="505"/>
      <c r="S102" s="50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99">
        <f>'2a.  Simple Form Data Entry'!J157</f>
        <v>0</v>
      </c>
      <c r="S103" s="50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501">
        <f>'2a.  Simple Form Data Entry'!J158</f>
        <v>0</v>
      </c>
      <c r="S104" s="50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501">
        <f>'2a.  Simple Form Data Entry'!J159</f>
        <v>0</v>
      </c>
      <c r="S105" s="50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501">
        <f>'2a.  Simple Form Data Entry'!J160</f>
        <v>0</v>
      </c>
      <c r="S106" s="50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501">
        <f>'2a.  Simple Form Data Entry'!J161</f>
        <v>0</v>
      </c>
      <c r="S107" s="50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501">
        <f>'2a.  Simple Form Data Entry'!J162</f>
        <v>0</v>
      </c>
      <c r="S108" s="50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514">
        <f>SUM(R103:S107)</f>
        <v>0</v>
      </c>
      <c r="S109" s="51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512" t="str">
        <f>IF('2a.  Simple Form Data Entry'!G39="Y","See note 5 below.",'2a.  Simple Form Data Entry'!D43)</f>
        <v>An NPV analysis was not performed because this is a lease renewal for a building that meets the unique program requirements of the existing tenants.</v>
      </c>
      <c r="C112" s="512"/>
      <c r="D112" s="512"/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12"/>
      <c r="Q112" s="512"/>
      <c r="R112" s="512"/>
      <c r="S112" s="512"/>
      <c r="T112" s="5"/>
    </row>
    <row r="113" spans="1:20" ht="13.5">
      <c r="A113" s="68" t="s">
        <v>112</v>
      </c>
      <c r="B113" s="507" t="s">
        <v>150</v>
      </c>
      <c r="C113" s="507"/>
      <c r="D113" s="507"/>
      <c r="E113" s="507"/>
      <c r="F113" s="507"/>
      <c r="G113" s="507"/>
      <c r="H113" s="507"/>
      <c r="I113" s="507"/>
      <c r="J113" s="507"/>
      <c r="K113" s="507"/>
      <c r="L113" s="507"/>
      <c r="M113" s="507"/>
      <c r="N113" s="507"/>
      <c r="O113" s="507"/>
      <c r="P113" s="507"/>
      <c r="Q113" s="507"/>
      <c r="R113" s="507"/>
      <c r="S113" s="507"/>
      <c r="T113" s="5"/>
    </row>
    <row r="114" spans="1:20" ht="15" customHeight="1">
      <c r="A114" s="69" t="s">
        <v>52</v>
      </c>
      <c r="B114" s="508" t="s">
        <v>116</v>
      </c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"/>
    </row>
    <row r="115" spans="1:20" ht="13.5">
      <c r="A115" s="69" t="s">
        <v>113</v>
      </c>
      <c r="B115" s="50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509"/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"/>
    </row>
    <row r="116" spans="1:20" ht="13.5" customHeight="1">
      <c r="A116" s="67" t="s">
        <v>114</v>
      </c>
      <c r="B116" s="49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96"/>
      <c r="D116" s="496"/>
      <c r="E116" s="496"/>
      <c r="F116" s="496"/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5"/>
    </row>
    <row r="117" spans="1:20" ht="16.5" customHeight="1">
      <c r="A117" s="67" t="s">
        <v>118</v>
      </c>
      <c r="B117" s="495" t="s">
        <v>111</v>
      </c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5"/>
      <c r="O117" s="495"/>
      <c r="P117" s="495"/>
      <c r="Q117" s="495"/>
      <c r="R117" s="495"/>
      <c r="S117" s="495"/>
      <c r="T117" s="5"/>
    </row>
    <row r="118" spans="1:19" ht="14.25" customHeight="1">
      <c r="A118" s="67"/>
      <c r="B118" s="513" t="str">
        <f>'2a.  Simple Form Data Entry'!C174</f>
        <v>- Lease extended for 10 years with option for 2 additional 5 year extensions.</v>
      </c>
      <c r="C118" s="513"/>
      <c r="D118" s="513"/>
      <c r="E118" s="513"/>
      <c r="F118" s="513"/>
      <c r="G118" s="513"/>
      <c r="H118" s="513"/>
      <c r="I118" s="513"/>
      <c r="J118" s="513"/>
      <c r="K118" s="513"/>
      <c r="L118" s="513"/>
      <c r="M118" s="513"/>
      <c r="N118" s="513"/>
      <c r="O118" s="513"/>
      <c r="P118" s="513"/>
      <c r="Q118" s="513"/>
      <c r="R118" s="513"/>
      <c r="S118" s="513"/>
    </row>
    <row r="119" spans="1:19" ht="13.5">
      <c r="A119" s="67"/>
      <c r="B119" s="513" t="str">
        <f>'2a.  Simple Form Data Entry'!C175</f>
        <v>- Landlord is providing a Tenant Improvement Allowance of $330,000</v>
      </c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/>
      <c r="R119" s="513"/>
      <c r="S119" s="513"/>
    </row>
    <row r="120" spans="1:19" ht="17.25" customHeight="1">
      <c r="A120" s="67"/>
      <c r="B120" s="513" t="str">
        <f>'2a.  Simple Form Data Entry'!C176</f>
        <v>- Up to $100,000 of theTI Allowance may be used as a rent credit to be applied in equal installments during the first 5 years of the first extended term.</v>
      </c>
      <c r="C120" s="513"/>
      <c r="D120" s="513"/>
      <c r="E120" s="513"/>
      <c r="F120" s="513"/>
      <c r="G120" s="513"/>
      <c r="H120" s="513"/>
      <c r="I120" s="513"/>
      <c r="J120" s="513"/>
      <c r="K120" s="513"/>
      <c r="L120" s="513"/>
      <c r="M120" s="513"/>
      <c r="N120" s="513"/>
      <c r="O120" s="513"/>
      <c r="P120" s="513"/>
      <c r="Q120" s="513"/>
      <c r="R120" s="513"/>
      <c r="S120" s="513"/>
    </row>
    <row r="121" spans="1:19" ht="15" customHeight="1">
      <c r="A121" s="67"/>
      <c r="B121" s="513" t="str">
        <f>'2a.  Simple Form Data Entry'!C177</f>
        <v>- Additional Rent includes 1) Operation &amp; Maintenance Rent at 4% of Base Rent plus 2) Parking, 4 stalls at $150/stall with 5% annual increases.</v>
      </c>
      <c r="C121" s="513"/>
      <c r="D121" s="513"/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</row>
    <row r="122" spans="1:20" ht="13.5">
      <c r="A122" s="67"/>
      <c r="B122" s="513"/>
      <c r="C122" s="513"/>
      <c r="D122" s="513"/>
      <c r="E122" s="513"/>
      <c r="F122" s="513"/>
      <c r="G122" s="513"/>
      <c r="H122" s="513"/>
      <c r="I122" s="513"/>
      <c r="J122" s="513"/>
      <c r="K122" s="513"/>
      <c r="L122" s="513"/>
      <c r="M122" s="513"/>
      <c r="N122" s="513"/>
      <c r="O122" s="513"/>
      <c r="P122" s="513"/>
      <c r="Q122" s="513"/>
      <c r="R122" s="513"/>
      <c r="S122" s="513"/>
      <c r="T122" s="5"/>
    </row>
    <row r="123" spans="1:19" ht="13.5">
      <c r="A123" s="67"/>
      <c r="B123" s="513"/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</row>
    <row r="124" spans="1:19" ht="13.5">
      <c r="A124" t="str">
        <f>IF('2a.  Simple Form Data Entry'!C180=""," ","6.")</f>
        <v xml:space="preserve"> </v>
      </c>
      <c r="B124" s="513"/>
      <c r="C124" s="513"/>
      <c r="D124" s="513"/>
      <c r="E124" s="513"/>
      <c r="F124" s="513"/>
      <c r="G124" s="513"/>
      <c r="H124" s="513"/>
      <c r="I124" s="513"/>
      <c r="J124" s="513"/>
      <c r="K124" s="513"/>
      <c r="L124" s="513"/>
      <c r="M124" s="513"/>
      <c r="N124" s="513"/>
      <c r="O124" s="513"/>
      <c r="P124" s="513"/>
      <c r="Q124" s="513"/>
      <c r="R124" s="513"/>
      <c r="S124" s="513"/>
    </row>
    <row r="125" spans="1:19" ht="13.5">
      <c r="A125" s="69"/>
      <c r="B125" s="513"/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513"/>
      <c r="O125" s="513"/>
      <c r="P125" s="513"/>
      <c r="Q125" s="513"/>
      <c r="R125" s="513"/>
      <c r="S125" s="513"/>
    </row>
    <row r="126" spans="1:19" ht="13.5">
      <c r="A126" s="69"/>
      <c r="B126" s="513"/>
      <c r="C126" s="513"/>
      <c r="D126" s="513"/>
      <c r="E126" s="513"/>
      <c r="F126" s="513"/>
      <c r="G126" s="513"/>
      <c r="H126" s="513"/>
      <c r="I126" s="513"/>
      <c r="J126" s="513"/>
      <c r="K126" s="513"/>
      <c r="L126" s="513"/>
      <c r="M126" s="513"/>
      <c r="N126" s="513"/>
      <c r="O126" s="513"/>
      <c r="P126" s="513"/>
      <c r="Q126" s="513"/>
      <c r="R126" s="513"/>
      <c r="S126" s="51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C10:S11"/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B90:C90"/>
    <mergeCell ref="B92:C92"/>
    <mergeCell ref="A75:C75"/>
    <mergeCell ref="A85:C85"/>
    <mergeCell ref="A101:C102"/>
    <mergeCell ref="B79:C7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7"/>
  <sheetViews>
    <sheetView workbookViewId="0" topLeftCell="A1">
      <selection activeCell="A51" sqref="A51"/>
    </sheetView>
  </sheetViews>
  <sheetFormatPr defaultColWidth="9.140625" defaultRowHeight="12.75"/>
  <cols>
    <col min="1" max="1" width="13.00390625" style="337" customWidth="1"/>
    <col min="2" max="2" width="19.00390625" style="337" customWidth="1"/>
    <col min="3" max="3" width="11.28125" style="337" customWidth="1"/>
    <col min="4" max="4" width="10.140625" style="337" customWidth="1"/>
    <col min="5" max="5" width="12.7109375" style="337" bestFit="1" customWidth="1"/>
    <col min="6" max="6" width="10.28125" style="337" customWidth="1"/>
    <col min="7" max="7" width="12.7109375" style="337" bestFit="1" customWidth="1"/>
    <col min="8" max="8" width="11.421875" style="337" customWidth="1"/>
    <col min="9" max="9" width="12.28125" style="337" customWidth="1"/>
    <col min="10" max="10" width="13.00390625" style="337" customWidth="1"/>
    <col min="11" max="12" width="12.57421875" style="337" customWidth="1"/>
    <col min="13" max="13" width="13.8515625" style="337" customWidth="1"/>
    <col min="14" max="16" width="9.140625" style="337" customWidth="1"/>
    <col min="17" max="17" width="13.28125" style="337" bestFit="1" customWidth="1"/>
    <col min="18" max="16384" width="9.140625" style="337" customWidth="1"/>
  </cols>
  <sheetData>
    <row r="1" ht="12.75">
      <c r="A1" s="336" t="s">
        <v>157</v>
      </c>
    </row>
    <row r="2" ht="12.75">
      <c r="A2" s="336" t="s">
        <v>176</v>
      </c>
    </row>
    <row r="3" spans="1:2" ht="12.75">
      <c r="A3" s="336" t="s">
        <v>177</v>
      </c>
      <c r="B3" s="338">
        <v>22000</v>
      </c>
    </row>
    <row r="4" spans="1:3" ht="12.75">
      <c r="A4" s="336" t="s">
        <v>178</v>
      </c>
      <c r="B4" s="339">
        <v>4.71</v>
      </c>
      <c r="C4" s="340" t="s">
        <v>179</v>
      </c>
    </row>
    <row r="5" spans="1:3" ht="12.75">
      <c r="A5" s="336" t="s">
        <v>180</v>
      </c>
      <c r="B5" s="341">
        <v>0.04</v>
      </c>
      <c r="C5" s="337" t="s">
        <v>181</v>
      </c>
    </row>
    <row r="7" ht="15.75" thickBot="1">
      <c r="A7" s="336" t="s">
        <v>182</v>
      </c>
    </row>
    <row r="8" spans="1:13" ht="15.75" thickBot="1">
      <c r="A8" s="342" t="s">
        <v>183</v>
      </c>
      <c r="B8" s="343" t="s">
        <v>184</v>
      </c>
      <c r="C8" s="344">
        <v>2019</v>
      </c>
      <c r="D8" s="345">
        <v>2020</v>
      </c>
      <c r="E8" s="346">
        <v>2021</v>
      </c>
      <c r="F8" s="346">
        <v>2022</v>
      </c>
      <c r="G8" s="345">
        <v>2023</v>
      </c>
      <c r="H8" s="345">
        <v>2024</v>
      </c>
      <c r="I8" s="346">
        <v>2025</v>
      </c>
      <c r="J8" s="346">
        <v>2026</v>
      </c>
      <c r="K8" s="345">
        <v>2027</v>
      </c>
      <c r="L8" s="345">
        <v>2028</v>
      </c>
      <c r="M8" s="347">
        <v>2029</v>
      </c>
    </row>
    <row r="9" spans="1:13" ht="12.75" hidden="1">
      <c r="A9" s="348" t="s">
        <v>185</v>
      </c>
      <c r="B9" s="349">
        <v>0</v>
      </c>
      <c r="C9" s="350">
        <v>0</v>
      </c>
      <c r="D9" s="350"/>
      <c r="E9" s="350"/>
      <c r="F9" s="350"/>
      <c r="G9" s="350"/>
      <c r="H9" s="350"/>
      <c r="I9" s="350"/>
      <c r="J9" s="350"/>
      <c r="K9" s="350"/>
      <c r="L9" s="350"/>
      <c r="M9" s="351"/>
    </row>
    <row r="10" spans="1:13" ht="12.75">
      <c r="A10" s="348" t="s">
        <v>186</v>
      </c>
      <c r="B10" s="349">
        <v>49500</v>
      </c>
      <c r="C10" s="350">
        <f>+B10*6</f>
        <v>297000</v>
      </c>
      <c r="D10" s="350">
        <f>B10*6</f>
        <v>297000</v>
      </c>
      <c r="E10" s="350"/>
      <c r="F10" s="350"/>
      <c r="G10" s="350"/>
      <c r="H10" s="350"/>
      <c r="I10" s="350"/>
      <c r="J10" s="350"/>
      <c r="K10" s="350"/>
      <c r="L10" s="350"/>
      <c r="M10" s="351"/>
    </row>
    <row r="11" spans="1:13" ht="12.75">
      <c r="A11" s="348" t="s">
        <v>187</v>
      </c>
      <c r="B11" s="349">
        <v>49500</v>
      </c>
      <c r="C11" s="350"/>
      <c r="D11" s="350">
        <f>+B11*6</f>
        <v>297000</v>
      </c>
      <c r="E11" s="350">
        <f>+B11*6</f>
        <v>297000</v>
      </c>
      <c r="F11" s="350"/>
      <c r="G11" s="350"/>
      <c r="H11" s="350"/>
      <c r="I11" s="350"/>
      <c r="J11" s="350"/>
      <c r="K11" s="350"/>
      <c r="L11" s="350"/>
      <c r="M11" s="351"/>
    </row>
    <row r="12" spans="1:13" ht="12.75">
      <c r="A12" s="348" t="s">
        <v>188</v>
      </c>
      <c r="B12" s="349">
        <v>51975</v>
      </c>
      <c r="C12" s="350"/>
      <c r="D12" s="350"/>
      <c r="E12" s="350">
        <f>+B12*6</f>
        <v>311850</v>
      </c>
      <c r="F12" s="350">
        <f>+B12*6</f>
        <v>311850</v>
      </c>
      <c r="G12" s="350"/>
      <c r="H12" s="350"/>
      <c r="I12" s="350"/>
      <c r="J12" s="350"/>
      <c r="K12" s="350"/>
      <c r="L12" s="350"/>
      <c r="M12" s="351"/>
    </row>
    <row r="13" spans="1:13" ht="12.75">
      <c r="A13" s="348" t="s">
        <v>189</v>
      </c>
      <c r="B13" s="349">
        <v>51975</v>
      </c>
      <c r="C13" s="350"/>
      <c r="D13" s="350"/>
      <c r="E13" s="350"/>
      <c r="F13" s="350">
        <f>+B13*6</f>
        <v>311850</v>
      </c>
      <c r="G13" s="350">
        <f>+B13*6</f>
        <v>311850</v>
      </c>
      <c r="H13" s="350"/>
      <c r="I13" s="350"/>
      <c r="J13" s="350"/>
      <c r="K13" s="350"/>
      <c r="L13" s="350"/>
      <c r="M13" s="351"/>
    </row>
    <row r="14" spans="1:13" ht="12.75">
      <c r="A14" s="348" t="s">
        <v>190</v>
      </c>
      <c r="B14" s="349">
        <v>54578</v>
      </c>
      <c r="C14" s="350"/>
      <c r="D14" s="350"/>
      <c r="E14" s="350"/>
      <c r="F14" s="350"/>
      <c r="G14" s="350">
        <f>+B14*6</f>
        <v>327468</v>
      </c>
      <c r="H14" s="350">
        <f>+B14*6</f>
        <v>327468</v>
      </c>
      <c r="I14" s="350"/>
      <c r="J14" s="350"/>
      <c r="K14" s="350"/>
      <c r="L14" s="350"/>
      <c r="M14" s="351"/>
    </row>
    <row r="15" spans="1:17" ht="12.75">
      <c r="A15" s="348" t="s">
        <v>191</v>
      </c>
      <c r="B15" s="349">
        <v>54578</v>
      </c>
      <c r="C15" s="350"/>
      <c r="D15" s="350"/>
      <c r="E15" s="350"/>
      <c r="F15" s="350"/>
      <c r="G15" s="350"/>
      <c r="H15" s="350">
        <f>+B15*6</f>
        <v>327468</v>
      </c>
      <c r="I15" s="350">
        <f>+B15*6</f>
        <v>327468</v>
      </c>
      <c r="J15" s="350"/>
      <c r="K15" s="350"/>
      <c r="L15" s="350"/>
      <c r="M15" s="351"/>
      <c r="Q15" s="352"/>
    </row>
    <row r="16" spans="1:13" ht="12.75">
      <c r="A16" s="348" t="s">
        <v>192</v>
      </c>
      <c r="B16" s="349">
        <v>57310</v>
      </c>
      <c r="C16" s="350"/>
      <c r="D16" s="350"/>
      <c r="E16" s="350"/>
      <c r="F16" s="350"/>
      <c r="G16" s="350"/>
      <c r="H16" s="350"/>
      <c r="I16" s="350">
        <f>+B16*6</f>
        <v>343860</v>
      </c>
      <c r="J16" s="350">
        <f>+B16*6</f>
        <v>343860</v>
      </c>
      <c r="K16" s="350"/>
      <c r="L16" s="350"/>
      <c r="M16" s="351"/>
    </row>
    <row r="17" spans="1:13" ht="12.75">
      <c r="A17" s="348" t="s">
        <v>193</v>
      </c>
      <c r="B17" s="349">
        <v>57310</v>
      </c>
      <c r="C17" s="350"/>
      <c r="D17" s="350"/>
      <c r="E17" s="350"/>
      <c r="F17" s="350"/>
      <c r="G17" s="350"/>
      <c r="H17" s="350"/>
      <c r="I17" s="350"/>
      <c r="J17" s="350">
        <f>+B17*6</f>
        <v>343860</v>
      </c>
      <c r="K17" s="350">
        <f>+B17*6</f>
        <v>343860</v>
      </c>
      <c r="L17" s="350"/>
      <c r="M17" s="351"/>
    </row>
    <row r="18" spans="1:13" ht="12.75">
      <c r="A18" s="348" t="s">
        <v>194</v>
      </c>
      <c r="B18" s="349">
        <v>60170</v>
      </c>
      <c r="C18" s="350"/>
      <c r="D18" s="350"/>
      <c r="E18" s="350"/>
      <c r="F18" s="350"/>
      <c r="G18" s="350"/>
      <c r="H18" s="350"/>
      <c r="I18" s="350"/>
      <c r="J18" s="350"/>
      <c r="K18" s="350">
        <f>+B18*6</f>
        <v>361020</v>
      </c>
      <c r="L18" s="350">
        <f>+B18*6</f>
        <v>361020</v>
      </c>
      <c r="M18" s="351"/>
    </row>
    <row r="19" spans="1:13" ht="15.75" thickBot="1">
      <c r="A19" s="348" t="s">
        <v>195</v>
      </c>
      <c r="B19" s="349">
        <v>60170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>
        <f>+B19*6</f>
        <v>361020</v>
      </c>
      <c r="M19" s="354">
        <f>+B19*6</f>
        <v>361020</v>
      </c>
    </row>
    <row r="20" spans="1:13" ht="15.75" thickBot="1">
      <c r="A20" s="355" t="s">
        <v>196</v>
      </c>
      <c r="B20" s="356"/>
      <c r="C20" s="357">
        <f aca="true" t="shared" si="0" ref="C20:M20">SUM(C9:C19)</f>
        <v>297000</v>
      </c>
      <c r="D20" s="357">
        <f t="shared" si="0"/>
        <v>594000</v>
      </c>
      <c r="E20" s="357">
        <f t="shared" si="0"/>
        <v>608850</v>
      </c>
      <c r="F20" s="357">
        <f t="shared" si="0"/>
        <v>623700</v>
      </c>
      <c r="G20" s="357">
        <f t="shared" si="0"/>
        <v>639318</v>
      </c>
      <c r="H20" s="357">
        <f t="shared" si="0"/>
        <v>654936</v>
      </c>
      <c r="I20" s="357">
        <f t="shared" si="0"/>
        <v>671328</v>
      </c>
      <c r="J20" s="357">
        <f t="shared" si="0"/>
        <v>687720</v>
      </c>
      <c r="K20" s="357">
        <f t="shared" si="0"/>
        <v>704880</v>
      </c>
      <c r="L20" s="357">
        <f t="shared" si="0"/>
        <v>722040</v>
      </c>
      <c r="M20" s="358">
        <f t="shared" si="0"/>
        <v>361020</v>
      </c>
    </row>
    <row r="21" ht="12.75">
      <c r="A21" s="359"/>
    </row>
    <row r="22" ht="15.75" thickBot="1">
      <c r="A22" s="360" t="s">
        <v>197</v>
      </c>
    </row>
    <row r="23" spans="1:13" ht="15.75" thickBot="1">
      <c r="A23" s="342" t="s">
        <v>198</v>
      </c>
      <c r="B23" s="361" t="s">
        <v>199</v>
      </c>
      <c r="C23" s="344">
        <v>2019</v>
      </c>
      <c r="D23" s="345">
        <v>2020</v>
      </c>
      <c r="E23" s="346">
        <v>2021</v>
      </c>
      <c r="F23" s="346">
        <v>2022</v>
      </c>
      <c r="G23" s="345">
        <v>2023</v>
      </c>
      <c r="H23" s="345">
        <v>2024</v>
      </c>
      <c r="I23" s="346">
        <v>2025</v>
      </c>
      <c r="J23" s="346">
        <v>2026</v>
      </c>
      <c r="K23" s="345">
        <v>2027</v>
      </c>
      <c r="L23" s="345">
        <v>2028</v>
      </c>
      <c r="M23" s="347">
        <v>2029</v>
      </c>
    </row>
    <row r="24" spans="1:13" ht="12.75">
      <c r="A24" s="348">
        <v>2019</v>
      </c>
      <c r="B24" s="362">
        <f>(+B3*B4)/12</f>
        <v>8635</v>
      </c>
      <c r="C24" s="350">
        <f>+B24*6</f>
        <v>51810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 ht="12.75">
      <c r="A25" s="348">
        <v>2020</v>
      </c>
      <c r="B25" s="362">
        <f>+B24*1.03</f>
        <v>8894.050000000001</v>
      </c>
      <c r="C25" s="350"/>
      <c r="D25" s="350">
        <f>B25*12</f>
        <v>106728.6</v>
      </c>
      <c r="E25" s="350"/>
      <c r="F25" s="350"/>
      <c r="G25" s="350"/>
      <c r="H25" s="350"/>
      <c r="I25" s="350"/>
      <c r="J25" s="350"/>
      <c r="K25" s="350"/>
      <c r="L25" s="350"/>
      <c r="M25" s="351"/>
    </row>
    <row r="26" spans="1:13" ht="12.75">
      <c r="A26" s="348">
        <v>2021</v>
      </c>
      <c r="B26" s="362">
        <f aca="true" t="shared" si="1" ref="B26:B34">+B25*1.03</f>
        <v>9160.871500000001</v>
      </c>
      <c r="C26" s="350"/>
      <c r="D26" s="350"/>
      <c r="E26" s="350">
        <f>B26*12</f>
        <v>109930.45800000001</v>
      </c>
      <c r="F26" s="350"/>
      <c r="G26" s="350"/>
      <c r="H26" s="350"/>
      <c r="I26" s="350"/>
      <c r="J26" s="350"/>
      <c r="K26" s="350"/>
      <c r="L26" s="350"/>
      <c r="M26" s="351"/>
    </row>
    <row r="27" spans="1:13" ht="12.75">
      <c r="A27" s="348">
        <v>2022</v>
      </c>
      <c r="B27" s="362">
        <f t="shared" si="1"/>
        <v>9435.697645000002</v>
      </c>
      <c r="C27" s="350"/>
      <c r="D27" s="350"/>
      <c r="E27" s="350"/>
      <c r="F27" s="350">
        <f>B27*12</f>
        <v>113228.37174000003</v>
      </c>
      <c r="G27" s="350"/>
      <c r="H27" s="350"/>
      <c r="I27" s="350"/>
      <c r="J27" s="350"/>
      <c r="K27" s="350"/>
      <c r="L27" s="350"/>
      <c r="M27" s="351"/>
    </row>
    <row r="28" spans="1:13" ht="12.75">
      <c r="A28" s="348">
        <v>2023</v>
      </c>
      <c r="B28" s="362">
        <f t="shared" si="1"/>
        <v>9718.768574350002</v>
      </c>
      <c r="C28" s="350"/>
      <c r="D28" s="350"/>
      <c r="E28" s="350"/>
      <c r="F28" s="350"/>
      <c r="G28" s="350">
        <f>B28*12</f>
        <v>116625.22289220002</v>
      </c>
      <c r="H28" s="350"/>
      <c r="I28" s="350"/>
      <c r="J28" s="350"/>
      <c r="K28" s="350"/>
      <c r="L28" s="350"/>
      <c r="M28" s="351"/>
    </row>
    <row r="29" spans="1:13" ht="12.75">
      <c r="A29" s="348">
        <v>2024</v>
      </c>
      <c r="B29" s="362">
        <f t="shared" si="1"/>
        <v>10010.331631580502</v>
      </c>
      <c r="C29" s="350"/>
      <c r="D29" s="350"/>
      <c r="E29" s="350"/>
      <c r="F29" s="350"/>
      <c r="G29" s="350"/>
      <c r="H29" s="350">
        <f>B29*12</f>
        <v>120123.97957896603</v>
      </c>
      <c r="I29" s="350"/>
      <c r="J29" s="350"/>
      <c r="K29" s="350"/>
      <c r="L29" s="350"/>
      <c r="M29" s="351"/>
    </row>
    <row r="30" spans="1:13" ht="12.75">
      <c r="A30" s="348">
        <v>2025</v>
      </c>
      <c r="B30" s="362">
        <f t="shared" si="1"/>
        <v>10310.641580527918</v>
      </c>
      <c r="C30" s="350"/>
      <c r="D30" s="350"/>
      <c r="E30" s="350"/>
      <c r="F30" s="350"/>
      <c r="G30" s="350"/>
      <c r="H30" s="350"/>
      <c r="I30" s="350">
        <f>B30*12</f>
        <v>123727.69896633501</v>
      </c>
      <c r="J30" s="350"/>
      <c r="K30" s="350"/>
      <c r="L30" s="350"/>
      <c r="M30" s="351"/>
    </row>
    <row r="31" spans="1:13" ht="12.75">
      <c r="A31" s="348">
        <v>2026</v>
      </c>
      <c r="B31" s="362">
        <f t="shared" si="1"/>
        <v>10619.960827943756</v>
      </c>
      <c r="C31" s="350"/>
      <c r="D31" s="350"/>
      <c r="E31" s="350"/>
      <c r="F31" s="350"/>
      <c r="G31" s="350"/>
      <c r="H31" s="350"/>
      <c r="I31" s="350"/>
      <c r="J31" s="350">
        <f>B31*12</f>
        <v>127439.52993532507</v>
      </c>
      <c r="K31" s="350"/>
      <c r="L31" s="350"/>
      <c r="M31" s="351"/>
    </row>
    <row r="32" spans="1:13" ht="12.75">
      <c r="A32" s="348">
        <v>2027</v>
      </c>
      <c r="B32" s="362">
        <f t="shared" si="1"/>
        <v>10938.559652782069</v>
      </c>
      <c r="C32" s="350"/>
      <c r="D32" s="350"/>
      <c r="E32" s="350"/>
      <c r="F32" s="350"/>
      <c r="G32" s="350"/>
      <c r="H32" s="350"/>
      <c r="I32" s="350"/>
      <c r="J32" s="350"/>
      <c r="K32" s="350">
        <f>B32*12</f>
        <v>131262.71583338483</v>
      </c>
      <c r="L32" s="350"/>
      <c r="M32" s="351"/>
    </row>
    <row r="33" spans="1:13" ht="12.75">
      <c r="A33" s="348">
        <v>2028</v>
      </c>
      <c r="B33" s="362">
        <f t="shared" si="1"/>
        <v>11266.716442365532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63">
        <f>B33*12</f>
        <v>135200.59730838638</v>
      </c>
      <c r="M33" s="351"/>
    </row>
    <row r="34" spans="1:13" ht="15.75" thickBot="1">
      <c r="A34" s="364">
        <v>2029</v>
      </c>
      <c r="B34" s="365">
        <f t="shared" si="1"/>
        <v>11604.717935636498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4">
        <f>B34*11</f>
        <v>127651.89729200148</v>
      </c>
    </row>
    <row r="35" spans="1:13" s="336" customFormat="1" ht="15.75" thickBot="1">
      <c r="A35" s="366" t="s">
        <v>200</v>
      </c>
      <c r="B35" s="367"/>
      <c r="C35" s="368">
        <f>SUM(C24:C34)</f>
        <v>51810</v>
      </c>
      <c r="D35" s="368">
        <f aca="true" t="shared" si="2" ref="D35:M35">SUM(D24:D34)</f>
        <v>106728.6</v>
      </c>
      <c r="E35" s="368">
        <f t="shared" si="2"/>
        <v>109930.45800000001</v>
      </c>
      <c r="F35" s="368">
        <f t="shared" si="2"/>
        <v>113228.37174000003</v>
      </c>
      <c r="G35" s="368">
        <f t="shared" si="2"/>
        <v>116625.22289220002</v>
      </c>
      <c r="H35" s="368">
        <f t="shared" si="2"/>
        <v>120123.97957896603</v>
      </c>
      <c r="I35" s="368">
        <f t="shared" si="2"/>
        <v>123727.69896633501</v>
      </c>
      <c r="J35" s="368">
        <f t="shared" si="2"/>
        <v>127439.52993532507</v>
      </c>
      <c r="K35" s="368">
        <f t="shared" si="2"/>
        <v>131262.71583338483</v>
      </c>
      <c r="L35" s="368">
        <f t="shared" si="2"/>
        <v>135200.59730838638</v>
      </c>
      <c r="M35" s="369">
        <f t="shared" si="2"/>
        <v>127651.89729200148</v>
      </c>
    </row>
    <row r="36" spans="1:13" s="372" customFormat="1" ht="12.75">
      <c r="A36" s="402" t="s">
        <v>201</v>
      </c>
      <c r="B36" s="370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</row>
    <row r="37" spans="1:13" ht="12.75">
      <c r="A37" s="373"/>
      <c r="B37" s="374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ht="15.75" thickBot="1">
      <c r="A38" s="360" t="s">
        <v>213</v>
      </c>
    </row>
    <row r="39" spans="1:13" ht="15.75" thickBot="1">
      <c r="A39" s="342" t="s">
        <v>198</v>
      </c>
      <c r="B39" s="361" t="s">
        <v>202</v>
      </c>
      <c r="C39" s="344">
        <v>2019</v>
      </c>
      <c r="D39" s="345">
        <v>2020</v>
      </c>
      <c r="E39" s="346">
        <v>2021</v>
      </c>
      <c r="F39" s="346">
        <v>2022</v>
      </c>
      <c r="G39" s="345">
        <v>2023</v>
      </c>
      <c r="H39" s="345">
        <v>2024</v>
      </c>
      <c r="I39" s="346">
        <v>2025</v>
      </c>
      <c r="J39" s="346">
        <v>2026</v>
      </c>
      <c r="K39" s="345">
        <v>2027</v>
      </c>
      <c r="L39" s="345">
        <v>2028</v>
      </c>
      <c r="M39" s="347">
        <v>2029</v>
      </c>
    </row>
    <row r="40" spans="1:13" ht="12.75">
      <c r="A40" s="348" t="s">
        <v>186</v>
      </c>
      <c r="B40" s="362">
        <f>+B10*4%+600</f>
        <v>2580</v>
      </c>
      <c r="C40" s="350">
        <f>+B40*6</f>
        <v>15480</v>
      </c>
      <c r="D40" s="350">
        <f>B40*6</f>
        <v>15480</v>
      </c>
      <c r="E40" s="350"/>
      <c r="F40" s="350"/>
      <c r="G40" s="350"/>
      <c r="H40" s="350"/>
      <c r="I40" s="350"/>
      <c r="J40" s="350"/>
      <c r="K40" s="350"/>
      <c r="L40" s="350"/>
      <c r="M40" s="351"/>
    </row>
    <row r="41" spans="1:13" ht="12.75">
      <c r="A41" s="348" t="s">
        <v>187</v>
      </c>
      <c r="B41" s="362">
        <f>+B11*4%+630</f>
        <v>2610</v>
      </c>
      <c r="C41" s="350"/>
      <c r="D41" s="350">
        <f>+B41*6</f>
        <v>15660</v>
      </c>
      <c r="E41" s="350">
        <f>+B41*6</f>
        <v>15660</v>
      </c>
      <c r="F41" s="350"/>
      <c r="G41" s="350"/>
      <c r="H41" s="350"/>
      <c r="I41" s="350"/>
      <c r="J41" s="350"/>
      <c r="K41" s="350"/>
      <c r="L41" s="350"/>
      <c r="M41" s="351"/>
    </row>
    <row r="42" spans="1:13" ht="12.75">
      <c r="A42" s="348" t="s">
        <v>188</v>
      </c>
      <c r="B42" s="362">
        <f>+B12*4%+662</f>
        <v>2741</v>
      </c>
      <c r="C42" s="350"/>
      <c r="D42" s="350"/>
      <c r="E42" s="350">
        <f>+B42*6</f>
        <v>16446</v>
      </c>
      <c r="F42" s="350">
        <f>+B42*6</f>
        <v>16446</v>
      </c>
      <c r="G42" s="350"/>
      <c r="H42" s="350"/>
      <c r="I42" s="350"/>
      <c r="J42" s="350"/>
      <c r="K42" s="350"/>
      <c r="L42" s="350"/>
      <c r="M42" s="351"/>
    </row>
    <row r="43" spans="1:13" ht="12.75">
      <c r="A43" s="348" t="s">
        <v>189</v>
      </c>
      <c r="B43" s="362">
        <f>+B13*4%+695</f>
        <v>2774</v>
      </c>
      <c r="C43" s="350"/>
      <c r="D43" s="350"/>
      <c r="E43" s="350"/>
      <c r="F43" s="350">
        <f>+B43*6</f>
        <v>16644</v>
      </c>
      <c r="G43" s="350">
        <f>+B43*6</f>
        <v>16644</v>
      </c>
      <c r="H43" s="350"/>
      <c r="I43" s="350"/>
      <c r="J43" s="350"/>
      <c r="K43" s="350"/>
      <c r="L43" s="350"/>
      <c r="M43" s="351"/>
    </row>
    <row r="44" spans="1:13" ht="12.75">
      <c r="A44" s="348" t="s">
        <v>190</v>
      </c>
      <c r="B44" s="362">
        <f>+B14*4%+730</f>
        <v>2913.12</v>
      </c>
      <c r="C44" s="350"/>
      <c r="D44" s="350"/>
      <c r="E44" s="350"/>
      <c r="F44" s="350"/>
      <c r="G44" s="350">
        <f>+B44*6</f>
        <v>17478.72</v>
      </c>
      <c r="H44" s="350">
        <f>+B44*6</f>
        <v>17478.72</v>
      </c>
      <c r="I44" s="350"/>
      <c r="J44" s="350"/>
      <c r="K44" s="350"/>
      <c r="L44" s="350"/>
      <c r="M44" s="351"/>
    </row>
    <row r="45" spans="1:13" ht="12.75">
      <c r="A45" s="348" t="s">
        <v>191</v>
      </c>
      <c r="B45" s="362">
        <f>+B15*4%+766</f>
        <v>2949.12</v>
      </c>
      <c r="C45" s="350"/>
      <c r="D45" s="350"/>
      <c r="E45" s="350"/>
      <c r="F45" s="350"/>
      <c r="G45" s="350"/>
      <c r="H45" s="350">
        <f>+B45*6</f>
        <v>17694.72</v>
      </c>
      <c r="I45" s="350">
        <f>+B45*6</f>
        <v>17694.72</v>
      </c>
      <c r="J45" s="350"/>
      <c r="K45" s="350"/>
      <c r="L45" s="350"/>
      <c r="M45" s="351"/>
    </row>
    <row r="46" spans="1:13" ht="12.75">
      <c r="A46" s="348" t="s">
        <v>192</v>
      </c>
      <c r="B46" s="362">
        <f>+B16*4%+805</f>
        <v>3097.4</v>
      </c>
      <c r="C46" s="350"/>
      <c r="D46" s="350"/>
      <c r="E46" s="350"/>
      <c r="F46" s="350"/>
      <c r="G46" s="350"/>
      <c r="H46" s="350"/>
      <c r="I46" s="350">
        <f>+B46*6</f>
        <v>18584.4</v>
      </c>
      <c r="J46" s="350">
        <f>+B46*6</f>
        <v>18584.4</v>
      </c>
      <c r="K46" s="350"/>
      <c r="L46" s="350"/>
      <c r="M46" s="351"/>
    </row>
    <row r="47" spans="1:13" ht="12.75">
      <c r="A47" s="348" t="s">
        <v>193</v>
      </c>
      <c r="B47" s="362">
        <f>+B17*4%+845</f>
        <v>3137.4</v>
      </c>
      <c r="C47" s="350"/>
      <c r="D47" s="350"/>
      <c r="E47" s="350"/>
      <c r="F47" s="350"/>
      <c r="G47" s="350"/>
      <c r="H47" s="350"/>
      <c r="I47" s="350"/>
      <c r="J47" s="350">
        <f>+B47*6</f>
        <v>18824.4</v>
      </c>
      <c r="K47" s="350">
        <f>+B47*6</f>
        <v>18824.4</v>
      </c>
      <c r="L47" s="350"/>
      <c r="M47" s="351"/>
    </row>
    <row r="48" spans="1:13" ht="12.75">
      <c r="A48" s="348" t="s">
        <v>194</v>
      </c>
      <c r="B48" s="362">
        <f>+B18*4%+887</f>
        <v>3293.8</v>
      </c>
      <c r="C48" s="350"/>
      <c r="D48" s="350"/>
      <c r="E48" s="350"/>
      <c r="F48" s="350"/>
      <c r="G48" s="350"/>
      <c r="H48" s="350"/>
      <c r="I48" s="350"/>
      <c r="J48" s="350"/>
      <c r="K48" s="350">
        <f>+B48*6</f>
        <v>19762.800000000003</v>
      </c>
      <c r="L48" s="350">
        <f>+B48*6</f>
        <v>19762.800000000003</v>
      </c>
      <c r="M48" s="351"/>
    </row>
    <row r="49" spans="1:13" ht="15.75" thickBot="1">
      <c r="A49" s="375" t="s">
        <v>195</v>
      </c>
      <c r="B49" s="365">
        <f>+B19*4%+931</f>
        <v>3337.8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53">
        <f>+B49*6</f>
        <v>20026.800000000003</v>
      </c>
      <c r="M49" s="354">
        <f>+B49*6</f>
        <v>20026.800000000003</v>
      </c>
    </row>
    <row r="50" spans="1:13" s="336" customFormat="1" ht="15.75" thickBot="1">
      <c r="A50" s="376" t="s">
        <v>203</v>
      </c>
      <c r="B50" s="367"/>
      <c r="C50" s="368">
        <f>SUM(C40:C49)</f>
        <v>15480</v>
      </c>
      <c r="D50" s="368">
        <f aca="true" t="shared" si="3" ref="D50:M50">SUM(D40:D49)</f>
        <v>31140</v>
      </c>
      <c r="E50" s="368">
        <f t="shared" si="3"/>
        <v>32106</v>
      </c>
      <c r="F50" s="368">
        <f t="shared" si="3"/>
        <v>33090</v>
      </c>
      <c r="G50" s="368">
        <f t="shared" si="3"/>
        <v>34122.72</v>
      </c>
      <c r="H50" s="368">
        <f t="shared" si="3"/>
        <v>35173.44</v>
      </c>
      <c r="I50" s="368">
        <f t="shared" si="3"/>
        <v>36279.12</v>
      </c>
      <c r="J50" s="368">
        <f t="shared" si="3"/>
        <v>37408.8</v>
      </c>
      <c r="K50" s="368">
        <f t="shared" si="3"/>
        <v>38587.200000000004</v>
      </c>
      <c r="L50" s="368">
        <f t="shared" si="3"/>
        <v>39789.600000000006</v>
      </c>
      <c r="M50" s="369">
        <f t="shared" si="3"/>
        <v>20026.800000000003</v>
      </c>
    </row>
    <row r="51" spans="1:13" s="336" customFormat="1" ht="12.75">
      <c r="A51" s="403" t="s">
        <v>212</v>
      </c>
      <c r="B51" s="400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</row>
    <row r="52" spans="1:13" ht="15.75" thickBot="1">
      <c r="A52" s="3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</row>
    <row r="53" spans="1:13" ht="15.75" thickBot="1">
      <c r="A53" s="378"/>
      <c r="B53" s="379"/>
      <c r="C53" s="344">
        <v>2019</v>
      </c>
      <c r="D53" s="345">
        <v>2020</v>
      </c>
      <c r="E53" s="346">
        <v>2021</v>
      </c>
      <c r="F53" s="346">
        <v>2022</v>
      </c>
      <c r="G53" s="345">
        <v>2023</v>
      </c>
      <c r="H53" s="345">
        <v>2024</v>
      </c>
      <c r="I53" s="346">
        <v>2025</v>
      </c>
      <c r="J53" s="346">
        <v>2026</v>
      </c>
      <c r="K53" s="345">
        <v>2027</v>
      </c>
      <c r="L53" s="345">
        <v>2028</v>
      </c>
      <c r="M53" s="347">
        <v>2029</v>
      </c>
    </row>
    <row r="54" spans="1:13" ht="24" customHeight="1" thickBot="1">
      <c r="A54" s="380" t="s">
        <v>204</v>
      </c>
      <c r="B54" s="381"/>
      <c r="C54" s="382">
        <f>+C20+C35+C50</f>
        <v>364290</v>
      </c>
      <c r="D54" s="382">
        <f aca="true" t="shared" si="4" ref="D54:M54">+D20+D35+D50</f>
        <v>731868.6</v>
      </c>
      <c r="E54" s="382">
        <f t="shared" si="4"/>
        <v>750886.458</v>
      </c>
      <c r="F54" s="382">
        <f t="shared" si="4"/>
        <v>770018.3717400001</v>
      </c>
      <c r="G54" s="382">
        <f t="shared" si="4"/>
        <v>790065.9428922</v>
      </c>
      <c r="H54" s="382">
        <f t="shared" si="4"/>
        <v>810233.419578966</v>
      </c>
      <c r="I54" s="382">
        <f t="shared" si="4"/>
        <v>831334.818966335</v>
      </c>
      <c r="J54" s="382">
        <f t="shared" si="4"/>
        <v>852568.3299353251</v>
      </c>
      <c r="K54" s="382">
        <f t="shared" si="4"/>
        <v>874729.9158333847</v>
      </c>
      <c r="L54" s="382">
        <f t="shared" si="4"/>
        <v>897030.1973083863</v>
      </c>
      <c r="M54" s="382">
        <f t="shared" si="4"/>
        <v>508698.69729200145</v>
      </c>
    </row>
    <row r="55" spans="1:13" s="336" customFormat="1" ht="18.75" thickBot="1" thickTop="1">
      <c r="A55" s="383" t="s">
        <v>205</v>
      </c>
      <c r="B55" s="384"/>
      <c r="C55" s="385"/>
      <c r="D55" s="385">
        <f>SUM(C54:D54)</f>
        <v>1096158.6</v>
      </c>
      <c r="E55" s="386"/>
      <c r="F55" s="386">
        <f>SUM(E54:F54)</f>
        <v>1520904.82974</v>
      </c>
      <c r="G55" s="385"/>
      <c r="H55" s="385">
        <f>SUM(G54:H54)</f>
        <v>1600299.362471166</v>
      </c>
      <c r="I55" s="386"/>
      <c r="J55" s="386">
        <f>SUM(I54:J54)</f>
        <v>1683903.14890166</v>
      </c>
      <c r="K55" s="385"/>
      <c r="L55" s="385">
        <f>SUM(K54:L54)</f>
        <v>1771760.113141771</v>
      </c>
      <c r="M55" s="387">
        <f>SUM(M54)</f>
        <v>508698.69729200145</v>
      </c>
    </row>
    <row r="56" spans="1:13" ht="15.75" thickBot="1">
      <c r="A56" s="377" t="s">
        <v>206</v>
      </c>
      <c r="B56" s="388"/>
      <c r="C56" s="388"/>
      <c r="D56" s="388"/>
      <c r="E56" s="388"/>
      <c r="F56" s="388"/>
      <c r="G56" s="377"/>
      <c r="H56" s="377"/>
      <c r="I56" s="377"/>
      <c r="J56" s="377"/>
      <c r="K56" s="377"/>
      <c r="L56" s="377"/>
      <c r="M56" s="377"/>
    </row>
    <row r="57" spans="2:13" ht="20.25" customHeight="1" thickBot="1">
      <c r="B57" s="377"/>
      <c r="C57" s="377"/>
      <c r="D57" s="377"/>
      <c r="E57" s="377"/>
      <c r="F57" s="377"/>
      <c r="G57" s="377"/>
      <c r="H57" s="377"/>
      <c r="I57" s="377"/>
      <c r="J57" s="389" t="s">
        <v>207</v>
      </c>
      <c r="K57" s="390"/>
      <c r="L57" s="391"/>
      <c r="M57" s="392">
        <f>SUM(C55:M55)</f>
        <v>8181724.751546599</v>
      </c>
    </row>
  </sheetData>
  <printOptions/>
  <pageMargins left="0.7" right="0.7" top="0.25" bottom="0.2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I343"/>
  <sheetViews>
    <sheetView showGridLines="0" zoomScale="80" zoomScaleNormal="80" workbookViewId="0" topLeftCell="A1">
      <selection activeCell="G20" sqref="G20:I20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42" t="s">
        <v>126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6" t="s">
        <v>76</v>
      </c>
      <c r="E11" s="426"/>
      <c r="F11" s="42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0" t="s">
        <v>75</v>
      </c>
      <c r="E12" s="420"/>
      <c r="F12" s="42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0" t="s">
        <v>74</v>
      </c>
      <c r="E13" s="420"/>
      <c r="F13" s="42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6" t="s">
        <v>73</v>
      </c>
      <c r="E14" s="420"/>
      <c r="F14" s="42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0" t="s">
        <v>72</v>
      </c>
      <c r="E15" s="420"/>
      <c r="F15" s="42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0" t="s">
        <v>103</v>
      </c>
      <c r="E16" s="42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0" t="s">
        <v>69</v>
      </c>
      <c r="E17" s="420"/>
      <c r="F17" s="42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6" t="s">
        <v>70</v>
      </c>
      <c r="E18" s="426"/>
      <c r="F18" s="42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26" t="s">
        <v>139</v>
      </c>
      <c r="E19" s="426"/>
      <c r="F19" s="427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4" t="s">
        <v>34</v>
      </c>
      <c r="H20" s="444"/>
      <c r="I20" s="44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5" t="s">
        <v>125</v>
      </c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35" t="s">
        <v>144</v>
      </c>
      <c r="E39" s="435"/>
      <c r="F39" s="43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0" t="s">
        <v>77</v>
      </c>
      <c r="E40" s="440"/>
      <c r="F40" s="441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0" t="s">
        <v>78</v>
      </c>
      <c r="E41" s="440"/>
      <c r="F41" s="441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28" t="s">
        <v>134</v>
      </c>
      <c r="E43" s="429"/>
      <c r="F43" s="429"/>
      <c r="G43" s="429"/>
      <c r="H43" s="429"/>
      <c r="I43" s="43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1" t="s">
        <v>99</v>
      </c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6" t="s">
        <v>20</v>
      </c>
      <c r="F57" s="446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15" ht="15" thickBot="1">
      <c r="B58" s="210"/>
      <c r="C58" s="157"/>
      <c r="D58" s="158" t="s">
        <v>50</v>
      </c>
      <c r="E58" s="422"/>
      <c r="F58" s="42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2" t="s">
        <v>84</v>
      </c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3"/>
      <c r="D69" s="443"/>
      <c r="E69" s="443"/>
      <c r="F69" s="44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0" t="s">
        <v>85</v>
      </c>
      <c r="F71" s="440"/>
      <c r="G71" s="440"/>
      <c r="H71" s="440"/>
      <c r="I71" s="440"/>
      <c r="J71" s="440"/>
      <c r="K71" s="440"/>
      <c r="L71" s="440"/>
      <c r="M71" s="440"/>
      <c r="N71" s="180"/>
      <c r="O71" s="211"/>
    </row>
    <row r="72" spans="2:15" ht="13.5" customHeight="1">
      <c r="B72" s="210"/>
      <c r="C72" s="268" t="s">
        <v>25</v>
      </c>
      <c r="D72" s="269"/>
      <c r="E72" s="424" t="s">
        <v>86</v>
      </c>
      <c r="F72" s="424"/>
      <c r="G72" s="424"/>
      <c r="H72" s="424"/>
      <c r="I72" s="424"/>
      <c r="J72" s="424"/>
      <c r="K72" s="424"/>
      <c r="L72" s="424"/>
      <c r="M72" s="424"/>
      <c r="N72" s="181"/>
      <c r="O72" s="211"/>
    </row>
    <row r="73" spans="2:15" ht="14.25">
      <c r="B73" s="210"/>
      <c r="C73" s="268" t="s">
        <v>53</v>
      </c>
      <c r="D73" s="269"/>
      <c r="E73" s="424" t="s">
        <v>87</v>
      </c>
      <c r="F73" s="425"/>
      <c r="G73" s="425"/>
      <c r="H73" s="425"/>
      <c r="I73" s="425"/>
      <c r="J73" s="425"/>
      <c r="K73" s="425"/>
      <c r="L73" s="425"/>
      <c r="M73" s="425"/>
      <c r="N73" s="179"/>
      <c r="O73" s="211"/>
    </row>
    <row r="74" spans="2:15" ht="14.25">
      <c r="B74" s="210"/>
      <c r="C74" s="434" t="s">
        <v>55</v>
      </c>
      <c r="D74" s="434"/>
      <c r="E74" s="424" t="s">
        <v>88</v>
      </c>
      <c r="F74" s="425"/>
      <c r="G74" s="425"/>
      <c r="H74" s="425"/>
      <c r="I74" s="425"/>
      <c r="J74" s="425"/>
      <c r="K74" s="425"/>
      <c r="L74" s="425"/>
      <c r="M74" s="425"/>
      <c r="N74" s="179"/>
      <c r="O74" s="211"/>
    </row>
    <row r="75" spans="2:15" ht="14.25" customHeight="1">
      <c r="B75" s="210"/>
      <c r="C75" s="438" t="s">
        <v>56</v>
      </c>
      <c r="D75" s="438"/>
      <c r="E75" s="424" t="s">
        <v>89</v>
      </c>
      <c r="F75" s="424"/>
      <c r="G75" s="424"/>
      <c r="H75" s="424"/>
      <c r="I75" s="424"/>
      <c r="J75" s="424"/>
      <c r="K75" s="424"/>
      <c r="L75" s="424"/>
      <c r="M75" s="424"/>
      <c r="N75" s="181"/>
      <c r="O75" s="211"/>
    </row>
    <row r="76" spans="2:15" ht="14.25">
      <c r="B76" s="210"/>
      <c r="C76" s="434" t="s">
        <v>57</v>
      </c>
      <c r="D76" s="434"/>
      <c r="E76" s="424"/>
      <c r="F76" s="425"/>
      <c r="G76" s="425"/>
      <c r="H76" s="425"/>
      <c r="I76" s="425"/>
      <c r="J76" s="425"/>
      <c r="K76" s="425"/>
      <c r="L76" s="425"/>
      <c r="M76" s="425"/>
      <c r="N76" s="179"/>
      <c r="O76" s="211"/>
    </row>
    <row r="77" spans="2:15" ht="15" customHeight="1">
      <c r="B77" s="210"/>
      <c r="C77" s="439" t="s">
        <v>26</v>
      </c>
      <c r="D77" s="439"/>
      <c r="E77" s="424" t="s">
        <v>90</v>
      </c>
      <c r="F77" s="425"/>
      <c r="G77" s="425"/>
      <c r="H77" s="425"/>
      <c r="I77" s="425"/>
      <c r="J77" s="425"/>
      <c r="K77" s="425"/>
      <c r="L77" s="425"/>
      <c r="M77" s="42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07" t="s">
        <v>40</v>
      </c>
      <c r="D81" s="407"/>
      <c r="E81" s="406" t="s">
        <v>22</v>
      </c>
      <c r="F81" s="406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0" t="s">
        <v>55</v>
      </c>
      <c r="D85" s="41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08" t="s">
        <v>56</v>
      </c>
      <c r="D86" s="40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0" t="s">
        <v>57</v>
      </c>
      <c r="D87" s="41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2" t="s">
        <v>26</v>
      </c>
      <c r="D88" s="41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07" t="s">
        <v>40</v>
      </c>
      <c r="D92" s="407"/>
      <c r="E92" s="406" t="s">
        <v>22</v>
      </c>
      <c r="F92" s="406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0" t="s">
        <v>55</v>
      </c>
      <c r="D96" s="41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08" t="s">
        <v>56</v>
      </c>
      <c r="D97" s="40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0" t="s">
        <v>57</v>
      </c>
      <c r="D98" s="41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2" t="s">
        <v>26</v>
      </c>
      <c r="D99" s="41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07" t="s">
        <v>40</v>
      </c>
      <c r="D103" s="407"/>
      <c r="E103" s="406" t="s">
        <v>22</v>
      </c>
      <c r="F103" s="406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10" t="s">
        <v>55</v>
      </c>
      <c r="D107" s="41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08" t="s">
        <v>56</v>
      </c>
      <c r="D108" s="40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0" t="s">
        <v>57</v>
      </c>
      <c r="D109" s="41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2" t="s">
        <v>26</v>
      </c>
      <c r="D110" s="41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407" t="s">
        <v>40</v>
      </c>
      <c r="D114" s="407"/>
      <c r="E114" s="406" t="s">
        <v>22</v>
      </c>
      <c r="F114" s="406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16" t="s">
        <v>55</v>
      </c>
      <c r="D118" s="41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14" t="s">
        <v>56</v>
      </c>
      <c r="D119" s="41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16" t="s">
        <v>57</v>
      </c>
      <c r="D120" s="41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18" t="s">
        <v>26</v>
      </c>
      <c r="D121" s="41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407" t="s">
        <v>40</v>
      </c>
      <c r="D125" s="407"/>
      <c r="E125" s="406" t="s">
        <v>22</v>
      </c>
      <c r="F125" s="406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16" t="s">
        <v>55</v>
      </c>
      <c r="D129" s="41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14" t="s">
        <v>56</v>
      </c>
      <c r="D130" s="41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16" t="s">
        <v>57</v>
      </c>
      <c r="D131" s="41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18" t="s">
        <v>26</v>
      </c>
      <c r="D132" s="41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407" t="s">
        <v>40</v>
      </c>
      <c r="D136" s="407"/>
      <c r="E136" s="406" t="s">
        <v>22</v>
      </c>
      <c r="F136" s="406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16" t="s">
        <v>55</v>
      </c>
      <c r="D140" s="41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14" t="s">
        <v>56</v>
      </c>
      <c r="D141" s="41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16" t="s">
        <v>57</v>
      </c>
      <c r="D142" s="41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18" t="s">
        <v>26</v>
      </c>
      <c r="D143" s="41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25" t="s">
        <v>100</v>
      </c>
      <c r="D148" s="425"/>
      <c r="E148" s="425"/>
      <c r="F148" s="425"/>
      <c r="G148" s="425"/>
      <c r="H148" s="425"/>
      <c r="I148" s="425"/>
      <c r="J148" s="425"/>
      <c r="K148" s="425"/>
      <c r="L148" s="425"/>
      <c r="M148" s="425"/>
      <c r="N148" s="179"/>
      <c r="O148" s="224"/>
      <c r="P148" s="225"/>
      <c r="Q148" s="225"/>
    </row>
    <row r="149" spans="2:17" ht="15" customHeight="1">
      <c r="B149" s="210"/>
      <c r="C149" s="425" t="s">
        <v>132</v>
      </c>
      <c r="D149" s="425"/>
      <c r="E149" s="425"/>
      <c r="F149" s="425"/>
      <c r="G149" s="425"/>
      <c r="H149" s="425"/>
      <c r="I149" s="425"/>
      <c r="J149" s="425"/>
      <c r="K149" s="425"/>
      <c r="L149" s="425"/>
      <c r="M149" s="42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37" t="s">
        <v>18</v>
      </c>
      <c r="D155" s="437" t="s">
        <v>39</v>
      </c>
      <c r="E155" s="447" t="s">
        <v>23</v>
      </c>
      <c r="F155" s="447"/>
      <c r="G155" s="283">
        <f>G81</f>
        <v>2019</v>
      </c>
      <c r="H155" s="284">
        <f>IF(OR(G19=2013,G19=2015,G19=2017,G19=2019),G19+1,"NA")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6"/>
      <c r="D156" s="406"/>
      <c r="E156" s="448"/>
      <c r="F156" s="44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0" t="s">
        <v>149</v>
      </c>
      <c r="G171" s="451"/>
      <c r="H171" s="451"/>
      <c r="I171" s="451"/>
      <c r="J171" s="451"/>
      <c r="K171" s="451"/>
      <c r="L171" s="451"/>
      <c r="M171" s="451"/>
      <c r="N171" s="45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5" t="s">
        <v>154</v>
      </c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179"/>
      <c r="O173" s="224"/>
    </row>
    <row r="174" spans="2:15" ht="34.5" customHeight="1" thickBot="1">
      <c r="B174" s="210"/>
      <c r="C174" s="453" t="s">
        <v>141</v>
      </c>
      <c r="D174" s="454"/>
      <c r="E174" s="454"/>
      <c r="F174" s="454"/>
      <c r="G174" s="454"/>
      <c r="H174" s="454"/>
      <c r="I174" s="454"/>
      <c r="J174" s="454"/>
      <c r="K174" s="454"/>
      <c r="L174" s="454"/>
      <c r="M174" s="454"/>
      <c r="N174" s="455"/>
      <c r="O174" s="224"/>
    </row>
    <row r="175" spans="2:15" ht="34.5" customHeight="1" thickBot="1">
      <c r="B175" s="210"/>
      <c r="C175" s="456" t="s">
        <v>123</v>
      </c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8"/>
      <c r="O175" s="224"/>
    </row>
    <row r="176" spans="2:15" ht="34.5" customHeight="1" thickBot="1">
      <c r="B176" s="210"/>
      <c r="C176" s="456" t="s">
        <v>123</v>
      </c>
      <c r="D176" s="457"/>
      <c r="E176" s="457"/>
      <c r="F176" s="457"/>
      <c r="G176" s="457"/>
      <c r="H176" s="457"/>
      <c r="I176" s="457"/>
      <c r="J176" s="457"/>
      <c r="K176" s="457"/>
      <c r="L176" s="457"/>
      <c r="M176" s="457"/>
      <c r="N176" s="458"/>
      <c r="O176" s="224"/>
    </row>
    <row r="177" spans="2:15" ht="34.5" customHeight="1" thickBot="1">
      <c r="B177" s="210"/>
      <c r="C177" s="456" t="s">
        <v>123</v>
      </c>
      <c r="D177" s="457"/>
      <c r="E177" s="457"/>
      <c r="F177" s="457"/>
      <c r="G177" s="457"/>
      <c r="H177" s="457"/>
      <c r="I177" s="457"/>
      <c r="J177" s="457"/>
      <c r="K177" s="457"/>
      <c r="L177" s="457"/>
      <c r="M177" s="457"/>
      <c r="N177" s="458"/>
      <c r="O177" s="224"/>
    </row>
    <row r="178" spans="2:15" ht="34.5" customHeight="1" thickBot="1">
      <c r="B178" s="210"/>
      <c r="C178" s="456" t="s">
        <v>123</v>
      </c>
      <c r="D178" s="457"/>
      <c r="E178" s="457"/>
      <c r="F178" s="457"/>
      <c r="G178" s="457"/>
      <c r="H178" s="457"/>
      <c r="I178" s="457"/>
      <c r="J178" s="457"/>
      <c r="K178" s="457"/>
      <c r="L178" s="457"/>
      <c r="M178" s="457"/>
      <c r="N178" s="45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25" t="s">
        <v>140</v>
      </c>
      <c r="D180" s="425"/>
      <c r="E180" s="425"/>
      <c r="F180" s="425"/>
      <c r="G180" s="425"/>
      <c r="H180" s="425"/>
      <c r="I180" s="425"/>
      <c r="J180" s="425"/>
      <c r="K180" s="425"/>
      <c r="L180" s="425"/>
      <c r="M180" s="42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49"/>
      <c r="D203" s="449"/>
      <c r="E203" s="449"/>
      <c r="F203" s="449"/>
      <c r="G203" s="449"/>
      <c r="H203" s="449"/>
      <c r="I203" s="449"/>
      <c r="J203" s="449"/>
      <c r="K203" s="449"/>
      <c r="L203" s="449"/>
      <c r="M203" s="449"/>
      <c r="N203" s="449"/>
      <c r="O203" s="449"/>
      <c r="P203" s="449"/>
      <c r="Q203" s="44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87" t="s">
        <v>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89" t="s">
        <v>31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1"/>
    </row>
    <row r="4" spans="1:20" ht="3" customHeight="1" thickBot="1" thickTop="1">
      <c r="A4" s="474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1"/>
    </row>
    <row r="5" spans="1:19" ht="13.5">
      <c r="A5" s="484" t="s">
        <v>7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3"/>
    </row>
    <row r="6" spans="1:20" ht="13.5">
      <c r="A6" s="480" t="s">
        <v>0</v>
      </c>
      <c r="B6" s="481"/>
      <c r="C6" s="479" t="str">
        <f>IF('2b.  Complex Form Data Entry'!G11="","   ",'2b.  Complex Form Data Entry'!G11)</f>
        <v xml:space="preserve">   </v>
      </c>
      <c r="D6" s="479"/>
      <c r="E6" s="479"/>
      <c r="F6" s="479"/>
      <c r="G6" s="479"/>
      <c r="H6" s="479"/>
      <c r="I6" s="479"/>
      <c r="J6" s="47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85" t="s">
        <v>152</v>
      </c>
      <c r="B7" s="476"/>
      <c r="C7" s="486" t="str">
        <f>IF('2b.  Complex Form Data Entry'!G12="","   ",'2b.  Complex Form Data Entry'!G12)</f>
        <v xml:space="preserve">   </v>
      </c>
      <c r="D7" s="486"/>
      <c r="E7" s="486"/>
      <c r="F7" s="486"/>
      <c r="G7" s="486"/>
      <c r="H7" s="486"/>
      <c r="I7" s="486"/>
      <c r="J7" s="48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77" t="s">
        <v>2</v>
      </c>
      <c r="B8" s="478"/>
      <c r="C8" s="292" t="str">
        <f>IF('2b.  Complex Form Data Entry'!G15="","   ",'2b.  Complex Form Data Entry'!G15)</f>
        <v xml:space="preserve">   </v>
      </c>
      <c r="E8" s="292"/>
      <c r="F8" s="478" t="s">
        <v>8</v>
      </c>
      <c r="G8" s="478"/>
      <c r="H8" s="329" t="str">
        <f>IF('2b.  Complex Form Data Entry'!G15=""," ",'2b.  Complex Form Data Entry'!G16)</f>
        <v xml:space="preserve"> </v>
      </c>
      <c r="I8" s="292"/>
      <c r="J8" s="292"/>
      <c r="L8" s="476" t="s">
        <v>10</v>
      </c>
      <c r="M8" s="476"/>
      <c r="N8" s="476"/>
      <c r="O8" s="47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77" t="s">
        <v>3</v>
      </c>
      <c r="B9" s="478"/>
      <c r="C9" s="295"/>
      <c r="D9" s="292"/>
      <c r="E9" s="292"/>
      <c r="F9" s="478" t="s">
        <v>13</v>
      </c>
      <c r="G9" s="478"/>
      <c r="H9" s="292"/>
      <c r="I9" s="292"/>
      <c r="J9" s="292"/>
      <c r="L9" s="476" t="s">
        <v>9</v>
      </c>
      <c r="M9" s="476"/>
      <c r="N9" s="476"/>
      <c r="O9" s="47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523" t="str">
        <f>IF('2b.  Complex Form Data Entry'!G10=""," ",'2b.  Complex Form Data Entry'!G10)</f>
        <v xml:space="preserve"> </v>
      </c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4"/>
      <c r="T10" s="11"/>
    </row>
    <row r="11" spans="1:20" ht="13.5" thickBot="1">
      <c r="A11" s="332"/>
      <c r="B11" s="333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89" t="s">
        <v>14</v>
      </c>
      <c r="B13" s="489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90" t="s">
        <v>32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94" t="s">
        <v>145</v>
      </c>
      <c r="B17" s="494"/>
      <c r="C17" s="494"/>
      <c r="D17" s="494"/>
      <c r="E17" s="532" t="str">
        <f>IF('2b.  Complex Form Data Entry'!G39="N","NA",'2b.  Complex Form Data Entry'!G40)</f>
        <v>NA</v>
      </c>
      <c r="F17" s="533"/>
      <c r="G17" s="534"/>
      <c r="H17" s="530" t="s">
        <v>153</v>
      </c>
      <c r="I17" s="531"/>
      <c r="J17" s="531"/>
      <c r="K17" s="531"/>
      <c r="L17" s="531"/>
      <c r="M17" s="531"/>
      <c r="N17" s="310"/>
      <c r="O17" s="532" t="str">
        <f>IF('2b.  Complex Form Data Entry'!G39="N","NA",'2b.  Complex Form Data Entry'!G41)</f>
        <v>NA</v>
      </c>
      <c r="P17" s="533"/>
      <c r="Q17" s="533"/>
      <c r="R17" s="533"/>
      <c r="S17" s="53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90" t="s">
        <v>33</v>
      </c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3.5">
      <c r="A35" s="516" t="str">
        <f>IF('2b.  Complex Form Data Entry'!E80="","   ",'2b.  Complex Form Data Entry'!E80)</f>
        <v xml:space="preserve">   </v>
      </c>
      <c r="B35" s="517"/>
      <c r="C35" s="51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72" t="s">
        <v>55</v>
      </c>
      <c r="C39" s="47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59" t="s">
        <v>56</v>
      </c>
      <c r="C40" s="46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72" t="s">
        <v>57</v>
      </c>
      <c r="C41" s="47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61" t="s">
        <v>26</v>
      </c>
      <c r="C42" s="46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63" t="str">
        <f>IF('2b.  Complex Form Data Entry'!E91="","   ",'2b.  Complex Form Data Entry'!E91)</f>
        <v xml:space="preserve">   </v>
      </c>
      <c r="B45" s="464"/>
      <c r="C45" s="46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72" t="s">
        <v>55</v>
      </c>
      <c r="C49" s="47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59" t="s">
        <v>56</v>
      </c>
      <c r="C50" s="46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72" t="s">
        <v>57</v>
      </c>
      <c r="C51" s="47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61" t="s">
        <v>26</v>
      </c>
      <c r="C52" s="46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63" t="str">
        <f>IF('2b.  Complex Form Data Entry'!E102="","   ",'2b.  Complex Form Data Entry'!E102)</f>
        <v xml:space="preserve">   </v>
      </c>
      <c r="B55" s="464"/>
      <c r="C55" s="46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72" t="s">
        <v>55</v>
      </c>
      <c r="C59" s="47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59" t="s">
        <v>56</v>
      </c>
      <c r="C60" s="46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72" t="s">
        <v>57</v>
      </c>
      <c r="C61" s="47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61" t="s">
        <v>26</v>
      </c>
      <c r="C62" s="46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63" t="str">
        <f>IF('2b.  Complex Form Data Entry'!E113="","   ",'2b.  Complex Form Data Entry'!E113)</f>
        <v xml:space="preserve">   </v>
      </c>
      <c r="B65" s="464"/>
      <c r="C65" s="46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72" t="s">
        <v>55</v>
      </c>
      <c r="C69" s="47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59" t="s">
        <v>56</v>
      </c>
      <c r="C70" s="46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72" t="s">
        <v>57</v>
      </c>
      <c r="C71" s="47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61" t="s">
        <v>26</v>
      </c>
      <c r="C72" s="46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63" t="str">
        <f>IF('2b.  Complex Form Data Entry'!E124="","   ",'2b.  Complex Form Data Entry'!E124)</f>
        <v xml:space="preserve">   </v>
      </c>
      <c r="B75" s="464"/>
      <c r="C75" s="46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72" t="s">
        <v>55</v>
      </c>
      <c r="C79" s="47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59" t="s">
        <v>56</v>
      </c>
      <c r="C80" s="46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72" t="s">
        <v>57</v>
      </c>
      <c r="C81" s="47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61" t="s">
        <v>26</v>
      </c>
      <c r="C82" s="46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63" t="str">
        <f>IF('2b.  Complex Form Data Entry'!E135="","   ",'2b.  Complex Form Data Entry'!E135)</f>
        <v xml:space="preserve">   </v>
      </c>
      <c r="B85" s="464"/>
      <c r="C85" s="46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72" t="s">
        <v>55</v>
      </c>
      <c r="C89" s="47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59" t="s">
        <v>56</v>
      </c>
      <c r="C90" s="46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72" t="s">
        <v>57</v>
      </c>
      <c r="C91" s="47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61" t="s">
        <v>26</v>
      </c>
      <c r="C92" s="46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87" t="s">
        <v>133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89" t="s">
        <v>31</v>
      </c>
      <c r="B99" s="489"/>
      <c r="C99" s="489"/>
      <c r="D99" s="489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1"/>
    </row>
    <row r="100" spans="1:20" ht="3" customHeight="1" thickBot="1" thickTop="1">
      <c r="A100" s="474"/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1"/>
    </row>
    <row r="101" spans="1:19" ht="13.5">
      <c r="A101" s="484" t="s">
        <v>7</v>
      </c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  <c r="O101" s="482"/>
      <c r="P101" s="482"/>
      <c r="Q101" s="482"/>
      <c r="R101" s="482"/>
      <c r="S101" s="483"/>
    </row>
    <row r="102" spans="1:20" ht="13.5">
      <c r="A102" s="480" t="s">
        <v>0</v>
      </c>
      <c r="B102" s="481"/>
      <c r="C102" s="479" t="str">
        <f>IF('2b.  Complex Form Data Entry'!G11="","   ",'2b.  Complex Form Data Entry'!G11)</f>
        <v xml:space="preserve">   </v>
      </c>
      <c r="D102" s="479"/>
      <c r="E102" s="479"/>
      <c r="F102" s="479"/>
      <c r="G102" s="479"/>
      <c r="H102" s="479"/>
      <c r="I102" s="479"/>
      <c r="J102" s="47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85" t="s">
        <v>152</v>
      </c>
      <c r="B103" s="476"/>
      <c r="C103" s="486" t="str">
        <f>IF('2b.  Complex Form Data Entry'!G12="","   ",'2b.  Complex Form Data Entry'!G12)</f>
        <v xml:space="preserve">   </v>
      </c>
      <c r="D103" s="486"/>
      <c r="E103" s="486"/>
      <c r="F103" s="486"/>
      <c r="G103" s="486"/>
      <c r="H103" s="486"/>
      <c r="I103" s="486"/>
      <c r="J103" s="48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77" t="s">
        <v>2</v>
      </c>
      <c r="B104" s="478"/>
      <c r="C104" s="298" t="str">
        <f>IF('2b.  Complex Form Data Entry'!G15="","   ",'2b.  Complex Form Data Entry'!G15)</f>
        <v xml:space="preserve">   </v>
      </c>
      <c r="E104" s="298"/>
      <c r="F104" s="478" t="s">
        <v>8</v>
      </c>
      <c r="G104" s="478"/>
      <c r="H104" s="329" t="str">
        <f>IF('2b.  Complex Form Data Entry'!G15=""," ",'2b.  Complex Form Data Entry'!G16)</f>
        <v xml:space="preserve"> </v>
      </c>
      <c r="I104" s="298"/>
      <c r="J104" s="298"/>
      <c r="L104" s="476" t="s">
        <v>10</v>
      </c>
      <c r="M104" s="476"/>
      <c r="N104" s="476"/>
      <c r="O104" s="47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77" t="s">
        <v>3</v>
      </c>
      <c r="B105" s="478"/>
      <c r="C105" s="300"/>
      <c r="D105" s="298"/>
      <c r="E105" s="298"/>
      <c r="F105" s="478" t="s">
        <v>13</v>
      </c>
      <c r="G105" s="478"/>
      <c r="H105" s="298"/>
      <c r="I105" s="298"/>
      <c r="J105" s="298"/>
      <c r="L105" s="476" t="s">
        <v>9</v>
      </c>
      <c r="M105" s="476"/>
      <c r="N105" s="476"/>
      <c r="O105" s="47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523" t="str">
        <f>IF('2b.  Complex Form Data Entry'!G10=""," ",'2b.  Complex Form Data Entry'!G10)</f>
        <v xml:space="preserve"> </v>
      </c>
      <c r="D106" s="523"/>
      <c r="E106" s="523"/>
      <c r="F106" s="523"/>
      <c r="G106" s="523"/>
      <c r="H106" s="523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4"/>
      <c r="T106" s="11"/>
    </row>
    <row r="107" spans="1:20" ht="13.5" thickBot="1">
      <c r="A107" s="332"/>
      <c r="B107" s="333"/>
      <c r="C107" s="525"/>
      <c r="D107" s="525"/>
      <c r="E107" s="525"/>
      <c r="F107" s="525"/>
      <c r="G107" s="525"/>
      <c r="H107" s="525"/>
      <c r="I107" s="525"/>
      <c r="J107" s="525"/>
      <c r="K107" s="525"/>
      <c r="L107" s="525"/>
      <c r="M107" s="525"/>
      <c r="N107" s="525"/>
      <c r="O107" s="525"/>
      <c r="P107" s="525"/>
      <c r="Q107" s="525"/>
      <c r="R107" s="525"/>
      <c r="S107" s="526"/>
      <c r="T107" s="11"/>
    </row>
    <row r="108" spans="1:20" ht="18.75" customHeight="1" thickBot="1" thickTop="1">
      <c r="A108" s="488" t="s">
        <v>15</v>
      </c>
      <c r="B108" s="488"/>
      <c r="C108" s="488"/>
      <c r="D108" s="488"/>
      <c r="E108" s="488"/>
      <c r="F108" s="488"/>
      <c r="G108" s="488"/>
      <c r="H108" s="488"/>
      <c r="I108" s="488"/>
      <c r="J108" s="488"/>
      <c r="K108" s="488"/>
      <c r="L108" s="488"/>
      <c r="M108" s="488"/>
      <c r="N108" s="488"/>
      <c r="O108" s="488"/>
      <c r="P108" s="488"/>
      <c r="Q108" s="488"/>
      <c r="R108" s="488"/>
      <c r="S108" s="48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6" t="s">
        <v>18</v>
      </c>
      <c r="B112" s="467"/>
      <c r="C112" s="468"/>
      <c r="D112" s="497" t="s">
        <v>19</v>
      </c>
      <c r="E112" s="497" t="s">
        <v>5</v>
      </c>
      <c r="F112" s="519" t="s">
        <v>104</v>
      </c>
      <c r="G112" s="497" t="s">
        <v>11</v>
      </c>
      <c r="H112" s="510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521" t="str">
        <f>CONCATENATE(L34," Appropriation Change")</f>
        <v>2019 / 2020 Appropriation Change</v>
      </c>
      <c r="O112" s="303"/>
      <c r="P112" s="303"/>
      <c r="Q112" s="303"/>
      <c r="R112" s="503" t="s">
        <v>138</v>
      </c>
      <c r="S112" s="504"/>
      <c r="T112" s="42"/>
    </row>
    <row r="113" spans="1:20" ht="37.5" customHeight="1" thickBot="1">
      <c r="A113" s="469"/>
      <c r="B113" s="470"/>
      <c r="C113" s="471"/>
      <c r="D113" s="498"/>
      <c r="E113" s="498"/>
      <c r="F113" s="520"/>
      <c r="G113" s="498"/>
      <c r="H113" s="511"/>
      <c r="I113" s="316"/>
      <c r="J113" s="191" t="s">
        <v>24</v>
      </c>
      <c r="K113" s="287" t="str">
        <f>'2b.  Complex Form Data Entry'!H156</f>
        <v>Allocation Change</v>
      </c>
      <c r="L113" s="522"/>
      <c r="O113" s="303"/>
      <c r="P113" s="303"/>
      <c r="Q113" s="303"/>
      <c r="R113" s="505"/>
      <c r="S113" s="50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536">
        <f>'2b.  Complex Form Data Entry'!J157</f>
        <v>0</v>
      </c>
      <c r="S114" s="53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536">
        <f>'2b.  Complex Form Data Entry'!J158</f>
        <v>0</v>
      </c>
      <c r="S115" s="53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536">
        <f>'2b.  Complex Form Data Entry'!J159</f>
        <v>0</v>
      </c>
      <c r="S116" s="53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536">
        <f>'2b.  Complex Form Data Entry'!J160</f>
        <v>0</v>
      </c>
      <c r="S117" s="53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536">
        <f>'2b.  Complex Form Data Entry'!J161</f>
        <v>0</v>
      </c>
      <c r="S118" s="53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536">
        <f>'2b.  Complex Form Data Entry'!J162</f>
        <v>0</v>
      </c>
      <c r="S119" s="53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538">
        <f>SUM(R114:S119)</f>
        <v>0</v>
      </c>
      <c r="S120" s="53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512" t="str">
        <f>IF('2b.  Complex Form Data Entry'!G39="Y","See note 5 below.",'2b.  Complex Form Data Entry'!D43)</f>
        <v>An NPV analysis was not performed because …</v>
      </c>
      <c r="C123" s="512"/>
      <c r="D123" s="512"/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2"/>
      <c r="S123" s="512"/>
      <c r="T123" s="5"/>
    </row>
    <row r="124" spans="1:20" ht="13.5">
      <c r="A124" s="68" t="s">
        <v>112</v>
      </c>
      <c r="B124" s="507" t="s">
        <v>150</v>
      </c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7"/>
      <c r="P124" s="507"/>
      <c r="Q124" s="507"/>
      <c r="R124" s="507"/>
      <c r="S124" s="507"/>
      <c r="T124" s="5"/>
    </row>
    <row r="125" spans="1:20" ht="14.25" customHeight="1">
      <c r="A125" s="69" t="s">
        <v>52</v>
      </c>
      <c r="B125" s="535" t="s">
        <v>116</v>
      </c>
      <c r="C125" s="535"/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 s="535"/>
      <c r="O125" s="535"/>
      <c r="P125" s="535"/>
      <c r="Q125" s="535"/>
      <c r="R125" s="535"/>
      <c r="S125" s="535"/>
      <c r="T125" s="5"/>
    </row>
    <row r="126" spans="1:20" ht="16.5" customHeight="1">
      <c r="A126" s="69" t="s">
        <v>113</v>
      </c>
      <c r="B126" s="50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509"/>
      <c r="D126" s="509"/>
      <c r="E126" s="509"/>
      <c r="F126" s="509"/>
      <c r="G126" s="509"/>
      <c r="H126" s="509"/>
      <c r="I126" s="509"/>
      <c r="J126" s="509"/>
      <c r="K126" s="509"/>
      <c r="L126" s="509"/>
      <c r="M126" s="509"/>
      <c r="N126" s="509"/>
      <c r="O126" s="509"/>
      <c r="P126" s="509"/>
      <c r="Q126" s="509"/>
      <c r="R126" s="509"/>
      <c r="S126" s="509"/>
      <c r="T126" s="5"/>
    </row>
    <row r="127" spans="1:20" ht="14.25" customHeight="1">
      <c r="A127" s="67" t="s">
        <v>114</v>
      </c>
      <c r="B127" s="49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96"/>
      <c r="D127" s="496"/>
      <c r="E127" s="496"/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  <c r="R127" s="496"/>
      <c r="S127" s="496"/>
      <c r="T127" s="5"/>
    </row>
    <row r="128" spans="1:20" ht="16.5" customHeight="1">
      <c r="A128" s="67" t="s">
        <v>118</v>
      </c>
      <c r="B128" s="495" t="s">
        <v>111</v>
      </c>
      <c r="C128" s="495"/>
      <c r="D128" s="495"/>
      <c r="E128" s="495"/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  <c r="P128" s="495"/>
      <c r="Q128" s="495"/>
      <c r="R128" s="495"/>
      <c r="S128" s="495"/>
      <c r="T128" s="5"/>
    </row>
    <row r="129" spans="1:19" ht="14.25" customHeight="1">
      <c r="A129" s="67"/>
      <c r="B129" s="513" t="str">
        <f>'2b.  Complex Form Data Entry'!C174</f>
        <v>-</v>
      </c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</row>
    <row r="130" spans="1:19" ht="13.5">
      <c r="A130" s="67"/>
      <c r="B130" s="513" t="str">
        <f>'2b.  Complex Form Data Entry'!C175</f>
        <v xml:space="preserve">- 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</row>
    <row r="131" spans="1:19" ht="12.75" customHeight="1">
      <c r="A131" s="67"/>
      <c r="B131" s="513" t="str">
        <f>'2b.  Complex Form Data Entry'!C176</f>
        <v xml:space="preserve">- </v>
      </c>
      <c r="C131" s="513"/>
      <c r="D131" s="513"/>
      <c r="E131" s="513"/>
      <c r="F131" s="513"/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</row>
    <row r="132" spans="1:19" ht="15" customHeight="1">
      <c r="A132" s="67"/>
      <c r="B132" s="513" t="str">
        <f>'2b.  Complex Form Data Entry'!C177</f>
        <v xml:space="preserve">- </v>
      </c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</row>
    <row r="133" spans="1:20" ht="13.5">
      <c r="A133" s="67"/>
      <c r="B133" s="513" t="str">
        <f>'2b.  Complex Form Data Entry'!C178</f>
        <v xml:space="preserve">- </v>
      </c>
      <c r="C133" s="513"/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"/>
    </row>
    <row r="134" spans="1:19" ht="13.5">
      <c r="A134" s="67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</row>
    <row r="135" spans="1:19" ht="13.5">
      <c r="A135" t="str">
        <f>IF('2b.  Complex Form Data Entry'!C181=""," ","6.")</f>
        <v xml:space="preserve"> </v>
      </c>
      <c r="B135" s="513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</row>
    <row r="136" spans="1:19" ht="13.5">
      <c r="A136" s="69"/>
      <c r="B136" s="513"/>
      <c r="C136" s="513"/>
      <c r="D136" s="513"/>
      <c r="E136" s="513"/>
      <c r="F136" s="513"/>
      <c r="G136" s="513"/>
      <c r="H136" s="513"/>
      <c r="I136" s="513"/>
      <c r="J136" s="513"/>
      <c r="K136" s="513"/>
      <c r="L136" s="513"/>
      <c r="M136" s="513"/>
      <c r="N136" s="513"/>
      <c r="O136" s="513"/>
      <c r="P136" s="513"/>
      <c r="Q136" s="513"/>
      <c r="R136" s="513"/>
      <c r="S136" s="513"/>
    </row>
    <row r="137" spans="1:19" ht="13.5">
      <c r="A137" s="69"/>
      <c r="B137" s="513"/>
      <c r="C137" s="513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YQKKTEHHRR7V-1353-3676</_dlc_DocId>
    <_dlc_DocIdUrl xmlns="cfc4bdfe-72e7-4bcf-8777-527aa6965755">
      <Url>https://kc1-portal38.sharepoint.com/FMD/Legislation2015/_layouts/15/DocIdRedir.aspx?ID=YQKKTEHHRR7V-1353-3676</Url>
      <Description>YQKKTEHHRR7V-1353-3676</Description>
    </_dlc_DocIdUrl>
  </documentManagement>
</p:properties>
</file>

<file path=customXml/itemProps1.xml><?xml version="1.0" encoding="utf-8"?>
<ds:datastoreItem xmlns:ds="http://schemas.openxmlformats.org/officeDocument/2006/customXml" ds:itemID="{B3AA47C7-7451-4BE8-AA39-1C090D6E3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b516f40b-13c9-483a-b8d0-25e20c0c5f62"/>
    <ds:schemaRef ds:uri="http://schemas.microsoft.com/office/2006/documentManagement/types"/>
    <ds:schemaRef ds:uri="cfc4bdfe-72e7-4bcf-8777-527aa696575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ff4bbbe-e948-4d8f-bbf3-024ce416f147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2019-09-13T16:05:23Z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4e0ddb04-c760-41e8-9c48-7137f338cf6c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