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0" windowWidth="28800" windowHeight="12432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Lease Detail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45621"/>
</workbook>
</file>

<file path=xl/comments4.xml><?xml version="1.0" encoding="utf-8"?>
<comments xmlns="http://schemas.openxmlformats.org/spreadsheetml/2006/main">
  <authors>
    <author>Clabaugh, Stephanie</author>
  </authors>
  <commentList>
    <comment ref="B9" authorId="0">
      <text>
        <r>
          <rPr>
            <b/>
            <sz val="9"/>
            <rFont val="Tahoma"/>
            <family val="2"/>
          </rPr>
          <t>Assumes anticipated Lease Commencement Date November 1, 2017</t>
        </r>
      </text>
    </comment>
    <comment ref="D10" authorId="0">
      <text>
        <r>
          <rPr>
            <b/>
            <sz val="9"/>
            <rFont val="Tahoma"/>
            <family val="2"/>
          </rPr>
          <t>Assumes anticipated Rent Commencement Date 4/1/2018</t>
        </r>
      </text>
    </comment>
    <comment ref="K18" authorId="0">
      <text>
        <r>
          <rPr>
            <b/>
            <sz val="9"/>
            <rFont val="Tahoma"/>
            <family val="2"/>
          </rPr>
          <t>Assumes anticipated Original Lease Term Expiration 3/31/2025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<sst xmlns="http://schemas.openxmlformats.org/spreadsheetml/2006/main" count="715" uniqueCount="204">
  <si>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</si>
  <si>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</si>
  <si>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</si>
  <si>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</si>
  <si>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</si>
  <si>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</si>
  <si>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</si>
  <si>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</si>
  <si>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</si>
  <si>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</si>
  <si>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</si>
  <si>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</si>
  <si>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</si>
  <si>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</si>
  <si>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</si>
  <si>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</si>
  <si>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</si>
  <si>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</si>
  <si>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</si>
  <si>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</si>
  <si>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</si>
  <si>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</si>
  <si>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</si>
  <si>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</si>
  <si>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</si>
  <si>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</si>
  <si>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</si>
  <si>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</si>
  <si>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</si>
  <si>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</si>
  <si>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</si>
  <si>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</si>
  <si>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</si>
  <si>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</si>
  <si>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</si>
  <si>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</si>
  <si>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</si>
  <si>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</si>
  <si>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</si>
  <si>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</si>
  <si>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</si>
  <si>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</si>
  <si>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</si>
  <si>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</si>
  <si>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</si>
  <si>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</si>
  <si>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</si>
  <si>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</si>
  <si>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</si>
  <si>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</si>
  <si>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</si>
  <si>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</si>
  <si>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</si>
  <si>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</si>
  <si>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</si>
  <si>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</si>
  <si>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</si>
  <si>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</si>
  <si>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</si>
  <si>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</si>
  <si>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</si>
  <si>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</si>
  <si>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</si>
  <si>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</si>
  <si>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</si>
  <si>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</si>
  <si>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</si>
  <si>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</si>
  <si>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</si>
  <si>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</si>
  <si>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</si>
  <si>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</si>
  <si>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</si>
  <si>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</si>
  <si>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</si>
  <si>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</si>
  <si>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</si>
  <si>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</si>
  <si>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</si>
  <si>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</si>
  <si>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</si>
  <si>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</si>
  <si>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</si>
  <si>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</si>
  <si>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</si>
  <si>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</si>
  <si>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</si>
  <si>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</si>
  <si>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</si>
  <si>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</si>
  <si>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</si>
  <si>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</si>
  <si>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</si>
  <si>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</si>
  <si>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</si>
  <si>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</si>
  <si>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</si>
  <si>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</si>
  <si>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</si>
  <si>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</si>
  <si>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</si>
  <si>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</si>
  <si>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</si>
  <si>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</si>
  <si>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</si>
  <si>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</si>
  <si>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</si>
  <si>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</si>
  <si>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</si>
  <si>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</si>
  <si>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</si>
  <si>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</si>
  <si>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</si>
  <si>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</si>
  <si>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</si>
  <si>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</si>
  <si>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</si>
  <si>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</si>
  <si>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</si>
  <si>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</si>
  <si>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</si>
  <si>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</si>
  <si>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</si>
  <si>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</si>
  <si>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</si>
  <si>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</si>
  <si>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</si>
  <si>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</si>
  <si>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</si>
  <si>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</si>
  <si>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</si>
  <si>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</si>
  <si>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</si>
  <si>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</si>
  <si>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</si>
  <si>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</si>
  <si>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</si>
  <si>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</si>
  <si>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</si>
  <si>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</si>
  <si>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</si>
  <si>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</si>
  <si>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</si>
  <si>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</si>
  <si>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</si>
  <si>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</si>
  <si>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</si>
  <si>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</si>
  <si>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</si>
  <si>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</si>
  <si>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</si>
  <si>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</si>
  <si>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</si>
  <si>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</si>
  <si>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</si>
  <si>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DCHS Worksource Lease at 645 Andover</t>
  </si>
  <si>
    <t xml:space="preserve">DCHS Worksource </t>
  </si>
  <si>
    <t>New Lease</t>
  </si>
  <si>
    <t>Stand Alone</t>
  </si>
  <si>
    <t>Carolyn Mock/Stephanie Clabaugh</t>
  </si>
  <si>
    <t>5/16/17</t>
  </si>
  <si>
    <t>89 months</t>
  </si>
  <si>
    <t>DCHS Worksource</t>
  </si>
  <si>
    <t>Annual Rent and Operating Expense</t>
  </si>
  <si>
    <t>Tenant Improvements - one time payment</t>
  </si>
  <si>
    <t>Estimated minor repairs cost</t>
  </si>
  <si>
    <t>- Base year operating costs estimated to be $9.50/rsf with 5% annual increases.</t>
  </si>
  <si>
    <t>645 Andover Park / DCHS Worksource Lease</t>
  </si>
  <si>
    <t>645 Andover</t>
  </si>
  <si>
    <t>RSF</t>
  </si>
  <si>
    <t>Tenant Improvements/Design/Construction/Furniture/Equipment</t>
  </si>
  <si>
    <t>Landlord Contribution  ($45/SF)</t>
  </si>
  <si>
    <t>County Contribution  (One time payment in 2017/2018)</t>
  </si>
  <si>
    <t>Base Rent</t>
  </si>
  <si>
    <t>Months</t>
  </si>
  <si>
    <t>Monthly Rate</t>
  </si>
  <si>
    <t xml:space="preserve">M 1 - 5 </t>
  </si>
  <si>
    <t>2 mo free</t>
  </si>
  <si>
    <t>3 mo free</t>
  </si>
  <si>
    <t>M 6 - 12</t>
  </si>
  <si>
    <t>M 13 - 24</t>
  </si>
  <si>
    <t>M 25 - 36</t>
  </si>
  <si>
    <t>M 37  -48</t>
  </si>
  <si>
    <t>M 49 - 60</t>
  </si>
  <si>
    <t>M 61  - 72</t>
  </si>
  <si>
    <t>M 73  - 84</t>
  </si>
  <si>
    <t>M 85  - 89</t>
  </si>
  <si>
    <t>Annual Base Rent Total</t>
  </si>
  <si>
    <t>OPEX Additional Rent over Base Year</t>
  </si>
  <si>
    <t>Year</t>
  </si>
  <si>
    <t xml:space="preserve">Monthly Opex </t>
  </si>
  <si>
    <t>BASE YEAR</t>
  </si>
  <si>
    <t xml:space="preserve">*Note - OPEX annual Additional Rent increases assume 5% increase over base year which base year is estimated to be $9.50/RSF </t>
  </si>
  <si>
    <t xml:space="preserve">Annual Total Base and OPEX </t>
  </si>
  <si>
    <t>Total Biennium Total Costs</t>
  </si>
  <si>
    <t>*Note: Total Biennium Costs includes $2,000 per year estimated minor repairs costs</t>
  </si>
  <si>
    <t xml:space="preserve">*Bienniums color coded </t>
  </si>
  <si>
    <t>Total Lease Cost</t>
  </si>
  <si>
    <t>- Minor repair costs estimated at $2,000/year.</t>
  </si>
  <si>
    <t>1127778</t>
  </si>
  <si>
    <t>An NPV analysis was not performed because only one site was considered that met operational requirements.</t>
  </si>
  <si>
    <t>-  See corresponding capital project fiscal note for information regarding capital project revenue backing.</t>
  </si>
  <si>
    <t>Sid Bender</t>
  </si>
  <si>
    <t>6/13/17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</si>
</sst>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0" fontId="48" fillId="0" borderId="0" xfId="20" applyFont="1">
      <alignment/>
      <protection/>
    </xf>
    <xf numFmtId="0" fontId="1" fillId="0" borderId="0" xfId="20">
      <alignment/>
      <protection/>
    </xf>
    <xf numFmtId="3" fontId="1" fillId="0" borderId="0" xfId="20" applyNumberFormat="1">
      <alignment/>
      <protection/>
    </xf>
    <xf numFmtId="0" fontId="1" fillId="0" borderId="0" xfId="20" applyFont="1">
      <alignment/>
      <protection/>
    </xf>
    <xf numFmtId="0" fontId="49" fillId="6" borderId="54" xfId="20" applyFont="1" applyFill="1" applyBorder="1">
      <alignment/>
      <protection/>
    </xf>
    <xf numFmtId="0" fontId="48" fillId="6" borderId="55" xfId="20" applyFont="1" applyFill="1" applyBorder="1">
      <alignment/>
      <protection/>
    </xf>
    <xf numFmtId="3" fontId="48" fillId="6" borderId="55" xfId="20" applyNumberFormat="1" applyFont="1" applyFill="1" applyBorder="1">
      <alignment/>
      <protection/>
    </xf>
    <xf numFmtId="0" fontId="48" fillId="6" borderId="56" xfId="20" applyFont="1" applyFill="1" applyBorder="1">
      <alignment/>
      <protection/>
    </xf>
    <xf numFmtId="0" fontId="1" fillId="6" borderId="55" xfId="20" applyFill="1" applyBorder="1">
      <alignment/>
      <protection/>
    </xf>
    <xf numFmtId="0" fontId="1" fillId="6" borderId="56" xfId="20" applyFill="1" applyBorder="1">
      <alignment/>
      <protection/>
    </xf>
    <xf numFmtId="0" fontId="50" fillId="0" borderId="54" xfId="20" applyFont="1" applyBorder="1">
      <alignment/>
      <protection/>
    </xf>
    <xf numFmtId="0" fontId="50" fillId="0" borderId="55" xfId="20" applyFont="1" applyBorder="1">
      <alignment/>
      <protection/>
    </xf>
    <xf numFmtId="167" fontId="50" fillId="0" borderId="55" xfId="20" applyNumberFormat="1" applyFont="1" applyBorder="1">
      <alignment/>
      <protection/>
    </xf>
    <xf numFmtId="167" fontId="50" fillId="0" borderId="56" xfId="20" applyNumberFormat="1" applyFont="1" applyBorder="1">
      <alignment/>
      <protection/>
    </xf>
    <xf numFmtId="0" fontId="1" fillId="7" borderId="53" xfId="20" applyFont="1" applyFill="1" applyBorder="1">
      <alignment/>
      <protection/>
    </xf>
    <xf numFmtId="0" fontId="1" fillId="7" borderId="49" xfId="20" applyFill="1" applyBorder="1">
      <alignment/>
      <protection/>
    </xf>
    <xf numFmtId="167" fontId="1" fillId="7" borderId="49" xfId="20" applyNumberFormat="1" applyFill="1" applyBorder="1">
      <alignment/>
      <protection/>
    </xf>
    <xf numFmtId="167" fontId="1" fillId="7" borderId="57" xfId="20" applyNumberFormat="1" applyFill="1" applyBorder="1">
      <alignment/>
      <protection/>
    </xf>
    <xf numFmtId="0" fontId="49" fillId="6" borderId="27" xfId="20" applyFont="1" applyFill="1" applyBorder="1">
      <alignment/>
      <protection/>
    </xf>
    <xf numFmtId="0" fontId="1" fillId="6" borderId="28" xfId="20" applyFill="1" applyBorder="1">
      <alignment/>
      <protection/>
    </xf>
    <xf numFmtId="0" fontId="1" fillId="6" borderId="30" xfId="20" applyFill="1" applyBorder="1">
      <alignment/>
      <protection/>
    </xf>
    <xf numFmtId="0" fontId="48" fillId="0" borderId="58" xfId="20" applyFont="1" applyBorder="1" applyAlignment="1">
      <alignment horizontal="center" vertical="center"/>
      <protection/>
    </xf>
    <xf numFmtId="0" fontId="48" fillId="0" borderId="50" xfId="20" applyFont="1" applyBorder="1" applyAlignment="1">
      <alignment horizontal="center" vertical="center"/>
      <protection/>
    </xf>
    <xf numFmtId="0" fontId="48" fillId="7" borderId="29" xfId="20" applyFont="1" applyFill="1" applyBorder="1">
      <alignment/>
      <protection/>
    </xf>
    <xf numFmtId="0" fontId="48" fillId="8" borderId="29" xfId="20" applyFont="1" applyFill="1" applyBorder="1">
      <alignment/>
      <protection/>
    </xf>
    <xf numFmtId="0" fontId="48" fillId="9" borderId="29" xfId="20" applyFont="1" applyFill="1" applyBorder="1">
      <alignment/>
      <protection/>
    </xf>
    <xf numFmtId="0" fontId="48" fillId="10" borderId="29" xfId="20" applyFont="1" applyFill="1" applyBorder="1">
      <alignment/>
      <protection/>
    </xf>
    <xf numFmtId="0" fontId="48" fillId="11" borderId="40" xfId="20" applyFont="1" applyFill="1" applyBorder="1">
      <alignment/>
      <protection/>
    </xf>
    <xf numFmtId="0" fontId="1" fillId="0" borderId="59" xfId="20" applyNumberFormat="1" applyFont="1" applyBorder="1" applyAlignment="1">
      <alignment horizontal="center" vertical="center"/>
      <protection/>
    </xf>
    <xf numFmtId="168" fontId="1" fillId="0" borderId="21" xfId="20" applyNumberFormat="1" applyBorder="1" applyAlignment="1">
      <alignment horizontal="center" vertical="center"/>
      <protection/>
    </xf>
    <xf numFmtId="167" fontId="1" fillId="0" borderId="0" xfId="20" applyNumberFormat="1" applyFont="1" applyBorder="1" applyAlignment="1">
      <alignment horizontal="right" vertical="center"/>
      <protection/>
    </xf>
    <xf numFmtId="167" fontId="1" fillId="0" borderId="0" xfId="20" applyNumberFormat="1" applyBorder="1" applyAlignment="1">
      <alignment vertical="center"/>
      <protection/>
    </xf>
    <xf numFmtId="167" fontId="1" fillId="0" borderId="24" xfId="20" applyNumberFormat="1" applyBorder="1" applyAlignment="1">
      <alignment vertical="center"/>
      <protection/>
    </xf>
    <xf numFmtId="0" fontId="1" fillId="0" borderId="59" xfId="20" applyNumberFormat="1" applyBorder="1" applyAlignment="1">
      <alignment horizontal="center" vertical="center"/>
      <protection/>
    </xf>
    <xf numFmtId="0" fontId="48" fillId="0" borderId="60" xfId="20" applyNumberFormat="1" applyFont="1" applyBorder="1">
      <alignment/>
      <protection/>
    </xf>
    <xf numFmtId="0" fontId="1" fillId="0" borderId="29" xfId="20" applyBorder="1">
      <alignment/>
      <protection/>
    </xf>
    <xf numFmtId="168" fontId="1" fillId="0" borderId="29" xfId="20" applyNumberFormat="1" applyBorder="1">
      <alignment/>
      <protection/>
    </xf>
    <xf numFmtId="167" fontId="1" fillId="0" borderId="29" xfId="20" applyNumberFormat="1" applyBorder="1">
      <alignment/>
      <protection/>
    </xf>
    <xf numFmtId="167" fontId="1" fillId="0" borderId="40" xfId="20" applyNumberFormat="1" applyBorder="1">
      <alignment/>
      <protection/>
    </xf>
    <xf numFmtId="0" fontId="48" fillId="0" borderId="0" xfId="20" applyNumberFormat="1" applyFont="1" applyBorder="1">
      <alignment/>
      <protection/>
    </xf>
    <xf numFmtId="0" fontId="1" fillId="0" borderId="0" xfId="20" applyBorder="1">
      <alignment/>
      <protection/>
    </xf>
    <xf numFmtId="168" fontId="1" fillId="0" borderId="0" xfId="20" applyNumberFormat="1" applyBorder="1">
      <alignment/>
      <protection/>
    </xf>
    <xf numFmtId="0" fontId="49" fillId="6" borderId="27" xfId="20" applyNumberFormat="1" applyFont="1" applyFill="1" applyBorder="1">
      <alignment/>
      <protection/>
    </xf>
    <xf numFmtId="0" fontId="1" fillId="0" borderId="58" xfId="20" applyBorder="1" applyAlignment="1">
      <alignment horizontal="center" vertical="center"/>
      <protection/>
    </xf>
    <xf numFmtId="0" fontId="1" fillId="0" borderId="50" xfId="20" applyBorder="1">
      <alignment/>
      <protection/>
    </xf>
    <xf numFmtId="167" fontId="1" fillId="0" borderId="21" xfId="20" applyNumberFormat="1" applyFont="1" applyBorder="1" applyAlignment="1">
      <alignment horizontal="center" vertical="center"/>
      <protection/>
    </xf>
    <xf numFmtId="167" fontId="1" fillId="0" borderId="21" xfId="20" applyNumberFormat="1" applyBorder="1" applyAlignment="1">
      <alignment horizontal="center" vertical="center"/>
      <protection/>
    </xf>
    <xf numFmtId="0" fontId="1" fillId="0" borderId="61" xfId="20" applyNumberFormat="1" applyBorder="1" applyAlignment="1">
      <alignment horizontal="center" vertical="center"/>
      <protection/>
    </xf>
    <xf numFmtId="167" fontId="1" fillId="0" borderId="3" xfId="20" applyNumberFormat="1" applyBorder="1" applyAlignment="1">
      <alignment horizontal="center" vertical="center"/>
      <protection/>
    </xf>
    <xf numFmtId="167" fontId="1" fillId="0" borderId="49" xfId="20" applyNumberFormat="1" applyBorder="1" applyAlignment="1">
      <alignment vertical="center"/>
      <protection/>
    </xf>
    <xf numFmtId="168" fontId="1" fillId="0" borderId="57" xfId="20" applyNumberForma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54" xfId="20" applyBorder="1" applyAlignment="1">
      <alignment vertical="center"/>
      <protection/>
    </xf>
    <xf numFmtId="0" fontId="1" fillId="0" borderId="55" xfId="20" applyBorder="1" applyAlignment="1">
      <alignment vertical="center"/>
      <protection/>
    </xf>
    <xf numFmtId="0" fontId="48" fillId="7" borderId="50" xfId="20" applyFont="1" applyFill="1" applyBorder="1">
      <alignment/>
      <protection/>
    </xf>
    <xf numFmtId="0" fontId="48" fillId="8" borderId="50" xfId="20" applyFont="1" applyFill="1" applyBorder="1">
      <alignment/>
      <protection/>
    </xf>
    <xf numFmtId="0" fontId="48" fillId="9" borderId="50" xfId="20" applyFont="1" applyFill="1" applyBorder="1">
      <alignment/>
      <protection/>
    </xf>
    <xf numFmtId="0" fontId="48" fillId="10" borderId="50" xfId="20" applyFont="1" applyFill="1" applyBorder="1">
      <alignment/>
      <protection/>
    </xf>
    <xf numFmtId="0" fontId="48" fillId="11" borderId="62" xfId="20" applyFont="1" applyFill="1" applyBorder="1">
      <alignment/>
      <protection/>
    </xf>
    <xf numFmtId="0" fontId="48" fillId="0" borderId="16" xfId="20" applyFon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167" fontId="48" fillId="0" borderId="63" xfId="20" applyNumberFormat="1" applyFont="1" applyBorder="1" applyAlignment="1">
      <alignment vertical="center"/>
      <protection/>
    </xf>
    <xf numFmtId="167" fontId="48" fillId="0" borderId="64" xfId="20" applyNumberFormat="1" applyFont="1" applyBorder="1" applyAlignment="1">
      <alignment vertical="center"/>
      <protection/>
    </xf>
    <xf numFmtId="0" fontId="51" fillId="0" borderId="27" xfId="20" applyFont="1" applyBorder="1" applyAlignment="1">
      <alignment vertical="center"/>
      <protection/>
    </xf>
    <xf numFmtId="0" fontId="51" fillId="0" borderId="28" xfId="20" applyFont="1" applyBorder="1" applyAlignment="1">
      <alignment vertical="center"/>
      <protection/>
    </xf>
    <xf numFmtId="0" fontId="1" fillId="7" borderId="51" xfId="20" applyFill="1" applyBorder="1" applyAlignment="1">
      <alignment vertical="center"/>
      <protection/>
    </xf>
    <xf numFmtId="168" fontId="1" fillId="7" borderId="51" xfId="20" applyNumberFormat="1" applyFill="1" applyBorder="1" applyAlignment="1">
      <alignment vertical="center"/>
      <protection/>
    </xf>
    <xf numFmtId="168" fontId="1" fillId="8" borderId="51" xfId="20" applyNumberFormat="1" applyFill="1" applyBorder="1" applyAlignment="1">
      <alignment vertical="center"/>
      <protection/>
    </xf>
    <xf numFmtId="168" fontId="1" fillId="9" borderId="51" xfId="20" applyNumberFormat="1" applyFont="1" applyFill="1" applyBorder="1" applyAlignment="1">
      <alignment vertical="center"/>
      <protection/>
    </xf>
    <xf numFmtId="168" fontId="1" fillId="10" borderId="51" xfId="20" applyNumberFormat="1" applyFill="1" applyBorder="1" applyAlignment="1">
      <alignment vertical="center"/>
      <protection/>
    </xf>
    <xf numFmtId="168" fontId="1" fillId="11" borderId="65" xfId="20" applyNumberFormat="1" applyFill="1" applyBorder="1" applyAlignment="1">
      <alignment vertical="center"/>
      <protection/>
    </xf>
    <xf numFmtId="0" fontId="52" fillId="0" borderId="0" xfId="20" applyFont="1" applyAlignment="1">
      <alignment vertical="center"/>
      <protection/>
    </xf>
    <xf numFmtId="0" fontId="48" fillId="0" borderId="0" xfId="20" applyFont="1" applyBorder="1" applyAlignment="1">
      <alignment vertical="center"/>
      <protection/>
    </xf>
    <xf numFmtId="167" fontId="48" fillId="9" borderId="31" xfId="20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 quotePrefix="1">
      <alignment horizontal="left"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4" fillId="12" borderId="66" xfId="0" applyFont="1" applyFill="1" applyBorder="1" applyAlignment="1">
      <alignment horizontal="center" vertical="center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8" xfId="16" applyNumberFormat="1" applyFont="1" applyBorder="1" applyAlignment="1">
      <alignment horizontal="center"/>
    </xf>
    <xf numFmtId="166" fontId="2" fillId="0" borderId="67" xfId="16" applyNumberFormat="1" applyFont="1" applyBorder="1" applyAlignment="1">
      <alignment horizontal="center"/>
    </xf>
    <xf numFmtId="166" fontId="3" fillId="0" borderId="53" xfId="16" applyNumberFormat="1" applyFont="1" applyBorder="1" applyAlignment="1">
      <alignment horizontal="center"/>
    </xf>
    <xf numFmtId="166" fontId="3" fillId="0" borderId="57" xfId="16" applyNumberFormat="1" applyFont="1" applyBorder="1" applyAlignment="1">
      <alignment horizontal="center"/>
    </xf>
    <xf numFmtId="0" fontId="22" fillId="0" borderId="68" xfId="0" applyFont="1" applyFill="1" applyBorder="1" applyAlignment="1">
      <alignment horizontal="left"/>
    </xf>
    <xf numFmtId="0" fontId="22" fillId="0" borderId="69" xfId="0" applyFont="1" applyFill="1" applyBorder="1" applyAlignment="1">
      <alignment horizontal="left"/>
    </xf>
    <xf numFmtId="0" fontId="22" fillId="0" borderId="70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62" xfId="0" applyFont="1" applyBorder="1" applyAlignment="1">
      <alignment horizontal="center" wrapText="1"/>
    </xf>
    <xf numFmtId="0" fontId="22" fillId="0" borderId="65" xfId="0" applyFont="1" applyBorder="1" applyAlignment="1">
      <alignment horizontal="center" wrapText="1"/>
    </xf>
    <xf numFmtId="3" fontId="1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68" xfId="16" applyNumberFormat="1" applyFont="1" applyBorder="1" applyAlignment="1">
      <alignment horizontal="center"/>
    </xf>
    <xf numFmtId="166" fontId="2" fillId="0" borderId="71" xfId="16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center"/>
    </xf>
    <xf numFmtId="0" fontId="4" fillId="12" borderId="66" xfId="0" applyFont="1" applyFill="1" applyBorder="1" applyAlignment="1">
      <alignment horizontal="center" vertical="center"/>
    </xf>
    <xf numFmtId="0" fontId="15" fillId="12" borderId="66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54" xfId="0" applyFont="1" applyBorder="1"/>
    <xf numFmtId="0" fontId="22" fillId="0" borderId="55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72" xfId="16" applyNumberFormat="1" applyFont="1" applyBorder="1"/>
    <xf numFmtId="166" fontId="3" fillId="0" borderId="1" xfId="16" applyNumberFormat="1" applyFont="1" applyBorder="1"/>
    <xf numFmtId="166" fontId="3" fillId="0" borderId="73" xfId="16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72">
      <selection activeCell="E187" sqref="E18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433" t="s">
        <v>60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45" t="s">
        <v>76</v>
      </c>
      <c r="E11" s="445"/>
      <c r="F11" s="446"/>
      <c r="G11" s="138" t="s">
        <v>167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47" t="s">
        <v>75</v>
      </c>
      <c r="E12" s="447"/>
      <c r="F12" s="448"/>
      <c r="G12" s="138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47" t="s">
        <v>74</v>
      </c>
      <c r="E13" s="447"/>
      <c r="F13" s="448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49" t="s">
        <v>73</v>
      </c>
      <c r="E14" s="447"/>
      <c r="F14" s="448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47" t="s">
        <v>72</v>
      </c>
      <c r="E15" s="447"/>
      <c r="F15" s="448"/>
      <c r="G15" s="138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47" t="s">
        <v>103</v>
      </c>
      <c r="E16" s="447"/>
      <c r="F16" s="240"/>
      <c r="G16" s="187" t="s">
        <v>160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47" t="s">
        <v>69</v>
      </c>
      <c r="E17" s="447"/>
      <c r="F17" s="448"/>
      <c r="G17" s="141" t="s">
        <v>161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45" t="s">
        <v>70</v>
      </c>
      <c r="E18" s="445"/>
      <c r="F18" s="446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45" t="s">
        <v>137</v>
      </c>
      <c r="E19" s="445"/>
      <c r="F19" s="446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437" t="s">
        <v>34</v>
      </c>
      <c r="H20" s="437"/>
      <c r="I20" s="43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199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3" t="s">
        <v>125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463" t="s">
        <v>142</v>
      </c>
      <c r="E39" s="463"/>
      <c r="F39" s="46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53" t="s">
        <v>77</v>
      </c>
      <c r="E40" s="453"/>
      <c r="F40" s="454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53" t="s">
        <v>78</v>
      </c>
      <c r="E41" s="453"/>
      <c r="F41" s="454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57" t="s">
        <v>200</v>
      </c>
      <c r="E43" s="458"/>
      <c r="F43" s="458"/>
      <c r="G43" s="458"/>
      <c r="H43" s="458"/>
      <c r="I43" s="459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60" t="s">
        <v>99</v>
      </c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4" t="s">
        <v>20</v>
      </c>
      <c r="F57" s="444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4.4" thickBot="1">
      <c r="B58" s="210"/>
      <c r="C58" s="157"/>
      <c r="D58" s="158" t="s">
        <v>50</v>
      </c>
      <c r="E58" s="455"/>
      <c r="F58" s="456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4.4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4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4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4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4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61" t="s">
        <v>84</v>
      </c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34"/>
      <c r="D69" s="434"/>
      <c r="E69" s="434"/>
      <c r="F69" s="43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53" t="s">
        <v>85</v>
      </c>
      <c r="F71" s="453"/>
      <c r="G71" s="453"/>
      <c r="H71" s="453"/>
      <c r="I71" s="453"/>
      <c r="J71" s="453"/>
      <c r="K71" s="453"/>
      <c r="L71" s="453"/>
      <c r="M71" s="453"/>
      <c r="N71" s="180"/>
      <c r="O71" s="211"/>
    </row>
    <row r="72" spans="2:15" ht="13.5" customHeight="1">
      <c r="B72" s="210"/>
      <c r="C72" s="268" t="s">
        <v>25</v>
      </c>
      <c r="D72" s="269"/>
      <c r="E72" s="438" t="s">
        <v>86</v>
      </c>
      <c r="F72" s="438"/>
      <c r="G72" s="438"/>
      <c r="H72" s="438"/>
      <c r="I72" s="438"/>
      <c r="J72" s="438"/>
      <c r="K72" s="438"/>
      <c r="L72" s="438"/>
      <c r="M72" s="438"/>
      <c r="N72" s="181"/>
      <c r="O72" s="211"/>
    </row>
    <row r="73" spans="2:15" ht="14.4">
      <c r="B73" s="210"/>
      <c r="C73" s="268" t="s">
        <v>53</v>
      </c>
      <c r="D73" s="269"/>
      <c r="E73" s="438" t="s">
        <v>87</v>
      </c>
      <c r="F73" s="418"/>
      <c r="G73" s="418"/>
      <c r="H73" s="418"/>
      <c r="I73" s="418"/>
      <c r="J73" s="418"/>
      <c r="K73" s="418"/>
      <c r="L73" s="418"/>
      <c r="M73" s="418"/>
      <c r="N73" s="179"/>
      <c r="O73" s="211"/>
    </row>
    <row r="74" spans="2:15" ht="14.4">
      <c r="B74" s="210"/>
      <c r="C74" s="451" t="s">
        <v>55</v>
      </c>
      <c r="D74" s="451"/>
      <c r="E74" s="438" t="s">
        <v>88</v>
      </c>
      <c r="F74" s="418"/>
      <c r="G74" s="418"/>
      <c r="H74" s="418"/>
      <c r="I74" s="418"/>
      <c r="J74" s="418"/>
      <c r="K74" s="418"/>
      <c r="L74" s="418"/>
      <c r="M74" s="418"/>
      <c r="N74" s="179"/>
      <c r="O74" s="211"/>
    </row>
    <row r="75" spans="2:15" ht="14.25" customHeight="1">
      <c r="B75" s="210"/>
      <c r="C75" s="450" t="s">
        <v>56</v>
      </c>
      <c r="D75" s="450"/>
      <c r="E75" s="438" t="s">
        <v>89</v>
      </c>
      <c r="F75" s="438"/>
      <c r="G75" s="438"/>
      <c r="H75" s="438"/>
      <c r="I75" s="438"/>
      <c r="J75" s="438"/>
      <c r="K75" s="438"/>
      <c r="L75" s="438"/>
      <c r="M75" s="438"/>
      <c r="N75" s="181"/>
      <c r="O75" s="211"/>
    </row>
    <row r="76" spans="2:15" ht="14.4">
      <c r="B76" s="210"/>
      <c r="C76" s="451" t="s">
        <v>57</v>
      </c>
      <c r="D76" s="451"/>
      <c r="E76" s="438"/>
      <c r="F76" s="418"/>
      <c r="G76" s="418"/>
      <c r="H76" s="418"/>
      <c r="I76" s="418"/>
      <c r="J76" s="418"/>
      <c r="K76" s="418"/>
      <c r="L76" s="418"/>
      <c r="M76" s="418"/>
      <c r="N76" s="179"/>
      <c r="O76" s="211"/>
    </row>
    <row r="77" spans="2:15" ht="15" customHeight="1">
      <c r="B77" s="210"/>
      <c r="C77" s="452" t="s">
        <v>26</v>
      </c>
      <c r="D77" s="452"/>
      <c r="E77" s="438" t="s">
        <v>90</v>
      </c>
      <c r="F77" s="418"/>
      <c r="G77" s="418"/>
      <c r="H77" s="418"/>
      <c r="I77" s="418"/>
      <c r="J77" s="418"/>
      <c r="K77" s="418"/>
      <c r="L77" s="418"/>
      <c r="M77" s="418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 t="s">
        <v>162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" thickBot="1">
      <c r="B81" s="210"/>
      <c r="C81" s="424" t="s">
        <v>40</v>
      </c>
      <c r="D81" s="424"/>
      <c r="E81" s="425" t="s">
        <v>22</v>
      </c>
      <c r="F81" s="425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4.4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4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4" thickBot="1">
      <c r="B84" s="210"/>
      <c r="C84" s="273" t="s">
        <v>53</v>
      </c>
      <c r="D84" s="274"/>
      <c r="E84" s="153" t="s">
        <v>163</v>
      </c>
      <c r="F84" s="154"/>
      <c r="G84" s="155">
        <v>0</v>
      </c>
      <c r="H84" s="151">
        <v>347023</v>
      </c>
      <c r="I84" s="152">
        <v>483042</v>
      </c>
      <c r="J84" s="151">
        <v>494028</v>
      </c>
      <c r="K84" s="151">
        <v>505040</v>
      </c>
      <c r="L84" s="151">
        <v>516080</v>
      </c>
      <c r="M84" s="151">
        <v>1204642</v>
      </c>
      <c r="N84" s="193"/>
      <c r="O84" s="211"/>
    </row>
    <row r="85" spans="2:15" ht="14.25" customHeight="1" thickBot="1">
      <c r="B85" s="210"/>
      <c r="C85" s="435" t="s">
        <v>55</v>
      </c>
      <c r="D85" s="436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39" t="s">
        <v>56</v>
      </c>
      <c r="D86" s="440"/>
      <c r="E86" s="153" t="s">
        <v>164</v>
      </c>
      <c r="F86" s="154"/>
      <c r="G86" s="155"/>
      <c r="H86" s="151">
        <v>687890</v>
      </c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35" t="s">
        <v>57</v>
      </c>
      <c r="D87" s="43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4" thickBot="1">
      <c r="B88" s="210"/>
      <c r="C88" s="441" t="s">
        <v>26</v>
      </c>
      <c r="D88" s="442"/>
      <c r="E88" s="153" t="s">
        <v>165</v>
      </c>
      <c r="F88" s="154"/>
      <c r="G88" s="155"/>
      <c r="H88" s="151">
        <v>2000</v>
      </c>
      <c r="I88" s="151">
        <v>2000</v>
      </c>
      <c r="J88" s="151">
        <v>2000</v>
      </c>
      <c r="K88" s="151">
        <v>2000</v>
      </c>
      <c r="L88" s="151">
        <v>2000</v>
      </c>
      <c r="M88" s="151">
        <v>8000</v>
      </c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" thickBot="1">
      <c r="B92" s="210"/>
      <c r="C92" s="424" t="s">
        <v>40</v>
      </c>
      <c r="D92" s="424"/>
      <c r="E92" s="425" t="s">
        <v>22</v>
      </c>
      <c r="F92" s="425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4.4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4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4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435" t="s">
        <v>55</v>
      </c>
      <c r="D96" s="43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439" t="s">
        <v>56</v>
      </c>
      <c r="D97" s="44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435" t="s">
        <v>57</v>
      </c>
      <c r="D98" s="43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441" t="s">
        <v>26</v>
      </c>
      <c r="D99" s="44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" hidden="1" thickBot="1">
      <c r="B103" s="210"/>
      <c r="C103" s="424" t="s">
        <v>40</v>
      </c>
      <c r="D103" s="424"/>
      <c r="E103" s="425" t="s">
        <v>22</v>
      </c>
      <c r="F103" s="425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4.4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4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4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hidden="1" thickBot="1">
      <c r="B107" s="210"/>
      <c r="C107" s="435" t="s">
        <v>55</v>
      </c>
      <c r="D107" s="43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hidden="1" thickBot="1">
      <c r="B108" s="210"/>
      <c r="C108" s="439" t="s">
        <v>56</v>
      </c>
      <c r="D108" s="44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hidden="1" thickBot="1">
      <c r="B109" s="210"/>
      <c r="C109" s="435" t="s">
        <v>57</v>
      </c>
      <c r="D109" s="43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hidden="1" thickBot="1">
      <c r="B110" s="210"/>
      <c r="C110" s="441" t="s">
        <v>26</v>
      </c>
      <c r="D110" s="44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" hidden="1" thickBot="1">
      <c r="B114" s="210"/>
      <c r="C114" s="424" t="s">
        <v>40</v>
      </c>
      <c r="D114" s="424"/>
      <c r="E114" s="425" t="s">
        <v>22</v>
      </c>
      <c r="F114" s="425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4.4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4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4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hidden="1" thickBot="1">
      <c r="B118" s="210"/>
      <c r="C118" s="426" t="s">
        <v>55</v>
      </c>
      <c r="D118" s="42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hidden="1" thickBot="1">
      <c r="B119" s="210"/>
      <c r="C119" s="428" t="s">
        <v>56</v>
      </c>
      <c r="D119" s="42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hidden="1" thickBot="1">
      <c r="B120" s="210"/>
      <c r="C120" s="426" t="s">
        <v>57</v>
      </c>
      <c r="D120" s="42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hidden="1" thickBot="1">
      <c r="B121" s="210"/>
      <c r="C121" s="430" t="s">
        <v>26</v>
      </c>
      <c r="D121" s="43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8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" hidden="1" thickBot="1">
      <c r="B125" s="210"/>
      <c r="C125" s="424" t="s">
        <v>40</v>
      </c>
      <c r="D125" s="424"/>
      <c r="E125" s="425" t="s">
        <v>22</v>
      </c>
      <c r="F125" s="425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4.4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4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4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hidden="1" thickBot="1">
      <c r="B129" s="210"/>
      <c r="C129" s="426" t="s">
        <v>55</v>
      </c>
      <c r="D129" s="42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hidden="1" thickBot="1">
      <c r="B130" s="210"/>
      <c r="C130" s="428" t="s">
        <v>56</v>
      </c>
      <c r="D130" s="42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hidden="1" thickBot="1">
      <c r="B131" s="210"/>
      <c r="C131" s="426" t="s">
        <v>57</v>
      </c>
      <c r="D131" s="42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hidden="1" thickBot="1">
      <c r="B132" s="210"/>
      <c r="C132" s="430" t="s">
        <v>26</v>
      </c>
      <c r="D132" s="43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8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" hidden="1" thickBot="1">
      <c r="B136" s="210"/>
      <c r="C136" s="424" t="s">
        <v>40</v>
      </c>
      <c r="D136" s="424"/>
      <c r="E136" s="425" t="s">
        <v>22</v>
      </c>
      <c r="F136" s="425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4.4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4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4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hidden="1" thickBot="1">
      <c r="B140" s="210"/>
      <c r="C140" s="426" t="s">
        <v>55</v>
      </c>
      <c r="D140" s="42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hidden="1" thickBot="1">
      <c r="B141" s="210"/>
      <c r="C141" s="428" t="s">
        <v>56</v>
      </c>
      <c r="D141" s="42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hidden="1" thickBot="1">
      <c r="B142" s="210"/>
      <c r="C142" s="426" t="s">
        <v>57</v>
      </c>
      <c r="D142" s="42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hidden="1" thickBot="1">
      <c r="B143" s="210"/>
      <c r="C143" s="430" t="s">
        <v>26</v>
      </c>
      <c r="D143" s="43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418" t="s">
        <v>100</v>
      </c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179"/>
      <c r="O148" s="224"/>
      <c r="P148" s="225"/>
      <c r="Q148" s="225"/>
    </row>
    <row r="149" spans="2:17" ht="12.75" customHeight="1">
      <c r="B149" s="210"/>
      <c r="C149" s="418" t="s">
        <v>132</v>
      </c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3.8">
      <c r="B155" s="210"/>
      <c r="C155" s="432" t="s">
        <v>18</v>
      </c>
      <c r="D155" s="432" t="s">
        <v>39</v>
      </c>
      <c r="E155" s="422" t="s">
        <v>23</v>
      </c>
      <c r="F155" s="422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2" thickBot="1">
      <c r="B156" s="210"/>
      <c r="C156" s="425"/>
      <c r="D156" s="425"/>
      <c r="E156" s="423"/>
      <c r="F156" s="42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4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4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4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12" t="s">
        <v>147</v>
      </c>
      <c r="G171" s="413"/>
      <c r="H171" s="413"/>
      <c r="I171" s="413"/>
      <c r="J171" s="413"/>
      <c r="K171" s="413"/>
      <c r="L171" s="413"/>
      <c r="M171" s="413"/>
      <c r="N171" s="41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18" t="s">
        <v>153</v>
      </c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179"/>
      <c r="O173" s="224"/>
    </row>
    <row r="174" spans="2:15" ht="34.5" customHeight="1" thickBot="1">
      <c r="B174" s="210"/>
      <c r="C174" s="415" t="s">
        <v>166</v>
      </c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N174" s="417"/>
      <c r="O174" s="224"/>
    </row>
    <row r="175" spans="2:15" ht="34.5" customHeight="1" thickBot="1">
      <c r="B175" s="210"/>
      <c r="C175" s="419" t="s">
        <v>198</v>
      </c>
      <c r="D175" s="420"/>
      <c r="E175" s="420"/>
      <c r="F175" s="420"/>
      <c r="G175" s="420"/>
      <c r="H175" s="420"/>
      <c r="I175" s="420"/>
      <c r="J175" s="420"/>
      <c r="K175" s="420"/>
      <c r="L175" s="420"/>
      <c r="M175" s="420"/>
      <c r="N175" s="421"/>
      <c r="O175" s="224"/>
    </row>
    <row r="176" spans="2:15" ht="34.5" customHeight="1" thickBot="1">
      <c r="B176" s="210"/>
      <c r="C176" s="419" t="s">
        <v>201</v>
      </c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1"/>
      <c r="O176" s="224"/>
    </row>
    <row r="177" spans="2:15" ht="34.5" customHeight="1" thickBot="1">
      <c r="B177" s="210"/>
      <c r="C177" s="419" t="s">
        <v>123</v>
      </c>
      <c r="D177" s="420"/>
      <c r="E177" s="420"/>
      <c r="F177" s="420"/>
      <c r="G177" s="420"/>
      <c r="H177" s="420"/>
      <c r="I177" s="420"/>
      <c r="J177" s="420"/>
      <c r="K177" s="420"/>
      <c r="L177" s="420"/>
      <c r="M177" s="420"/>
      <c r="N177" s="421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418" t="s">
        <v>154</v>
      </c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116"/>
      <c r="O179" s="211"/>
    </row>
    <row r="180" spans="2:15" ht="14.4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1127778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C6" sqref="C6:J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507" t="s">
        <v>49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64" t="s">
        <v>31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1"/>
    </row>
    <row r="4" spans="1:20" ht="3" customHeight="1" thickBot="1" thickTop="1">
      <c r="A4" s="518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1"/>
    </row>
    <row r="5" spans="1:19" ht="13.8">
      <c r="A5" s="528" t="s">
        <v>7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7"/>
    </row>
    <row r="6" spans="1:20" ht="13.8">
      <c r="A6" s="524" t="s">
        <v>0</v>
      </c>
      <c r="B6" s="525"/>
      <c r="C6" s="523" t="str">
        <f>IF('2a.  Simple Form Data Entry'!G11="","   ",'2a.  Simple Form Data Entry'!G11)</f>
        <v>645 Andover Park / DCHS Worksource Lease</v>
      </c>
      <c r="D6" s="523"/>
      <c r="E6" s="523"/>
      <c r="F6" s="523"/>
      <c r="G6" s="523"/>
      <c r="H6" s="523"/>
      <c r="I6" s="523"/>
      <c r="J6" s="523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89 months</v>
      </c>
      <c r="S6" s="71" t="s">
        <v>17</v>
      </c>
      <c r="T6" s="11"/>
    </row>
    <row r="7" spans="1:20" ht="13.5" customHeight="1">
      <c r="A7" s="529" t="s">
        <v>150</v>
      </c>
      <c r="B7" s="520"/>
      <c r="C7" s="530" t="str">
        <f>IF('2a.  Simple Form Data Entry'!G12="","   ",'2a.  Simple Form Data Entry'!G12)</f>
        <v xml:space="preserve">DCHS Worksource </v>
      </c>
      <c r="D7" s="530"/>
      <c r="E7" s="530"/>
      <c r="F7" s="530"/>
      <c r="G7" s="530"/>
      <c r="H7" s="530"/>
      <c r="I7" s="530"/>
      <c r="J7" s="530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521" t="s">
        <v>2</v>
      </c>
      <c r="B8" s="522"/>
      <c r="C8" s="292" t="str">
        <f>IF('2a.  Simple Form Data Entry'!G15="","   ",'2a.  Simple Form Data Entry'!G15)</f>
        <v>Carolyn Mock/Stephanie Clabaugh</v>
      </c>
      <c r="E8" s="292"/>
      <c r="F8" s="522" t="s">
        <v>8</v>
      </c>
      <c r="G8" s="522"/>
      <c r="H8" s="329" t="str">
        <f>IF('2a.  Simple Form Data Entry'!G15=""," ",'2a.  Simple Form Data Entry'!G16)</f>
        <v>5/16/17</v>
      </c>
      <c r="I8" s="292"/>
      <c r="J8" s="292"/>
      <c r="L8" s="520" t="s">
        <v>10</v>
      </c>
      <c r="M8" s="520"/>
      <c r="N8" s="520"/>
      <c r="O8" s="520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521" t="s">
        <v>3</v>
      </c>
      <c r="B9" s="522"/>
      <c r="C9" s="295" t="s">
        <v>202</v>
      </c>
      <c r="D9" s="292"/>
      <c r="E9" s="292"/>
      <c r="F9" s="522" t="s">
        <v>13</v>
      </c>
      <c r="G9" s="522"/>
      <c r="H9" s="410" t="s">
        <v>203</v>
      </c>
      <c r="I9" s="292"/>
      <c r="J9" s="292"/>
      <c r="L9" s="520" t="s">
        <v>9</v>
      </c>
      <c r="M9" s="520"/>
      <c r="N9" s="520"/>
      <c r="O9" s="520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514" t="str">
        <f>IF('2a.  Simple Form Data Entry'!G10=""," ",'2a.  Simple Form Data Entry'!G10)</f>
        <v>DCHS Worksource Lease at 645 Andover</v>
      </c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  <c r="T10" s="11"/>
    </row>
    <row r="11" spans="1:20" ht="13.8" thickBot="1">
      <c r="A11" s="332"/>
      <c r="B11" s="333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64" t="s">
        <v>14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509" t="s">
        <v>32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513" t="s">
        <v>143</v>
      </c>
      <c r="B17" s="513"/>
      <c r="C17" s="513"/>
      <c r="D17" s="513"/>
      <c r="E17" s="510" t="str">
        <f>IF('2a.  Simple Form Data Entry'!G39="N","NA",'2a.  Simple Form Data Entry'!G40)</f>
        <v>NA</v>
      </c>
      <c r="F17" s="511"/>
      <c r="G17" s="512"/>
      <c r="H17" s="472" t="s">
        <v>151</v>
      </c>
      <c r="I17" s="473"/>
      <c r="J17" s="473"/>
      <c r="K17" s="473"/>
      <c r="L17" s="473"/>
      <c r="M17" s="473"/>
      <c r="N17" s="310"/>
      <c r="O17" s="465" t="str">
        <f>IF('2a.  Simple Form Data Entry'!G39="N","NA",'2a.  Simple Form Data Entry'!G41)</f>
        <v>NA</v>
      </c>
      <c r="P17" s="466"/>
      <c r="Q17" s="466"/>
      <c r="R17" s="466"/>
      <c r="S17" s="46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509" t="s">
        <v>33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4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8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8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8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8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8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8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4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8">
      <c r="A35" s="478" t="str">
        <f>IF('2a.  Simple Form Data Entry'!E80="","   ",'2a.  Simple Form Data Entry'!E80)</f>
        <v>DCHS Worksource</v>
      </c>
      <c r="B35" s="479"/>
      <c r="C35" s="480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Annual Rent and Operating Expense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347023</v>
      </c>
      <c r="L38" s="80">
        <f t="shared" si="7"/>
        <v>347023</v>
      </c>
      <c r="M38" s="80">
        <f>'2a.  Simple Form Data Entry'!I84</f>
        <v>483042</v>
      </c>
      <c r="N38" s="80">
        <f>'2a.  Simple Form Data Entry'!J84</f>
        <v>494028</v>
      </c>
      <c r="O38" s="80">
        <f t="shared" si="5"/>
        <v>977070</v>
      </c>
      <c r="P38" s="80">
        <f>'2a.  Simple Form Data Entry'!K84</f>
        <v>505040</v>
      </c>
      <c r="Q38" s="80">
        <f>'2a.  Simple Form Data Entry'!L84</f>
        <v>516080</v>
      </c>
      <c r="R38" s="80">
        <f t="shared" si="6"/>
        <v>1021120</v>
      </c>
      <c r="S38" s="83">
        <f>'2a.  Simple Form Data Entry'!M84</f>
        <v>1204642</v>
      </c>
      <c r="T38" s="12"/>
    </row>
    <row r="39" spans="1:20" ht="13.5" customHeight="1">
      <c r="A39" s="16"/>
      <c r="B39" s="468" t="s">
        <v>55</v>
      </c>
      <c r="C39" s="469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70" t="s">
        <v>56</v>
      </c>
      <c r="C40" s="471"/>
      <c r="D40" s="45"/>
      <c r="E40" s="45"/>
      <c r="F40" s="45"/>
      <c r="G40" s="45"/>
      <c r="H40" s="200" t="str">
        <f>IF('2a.  Simple Form Data Entry'!E86="","  ",'2a.  Simple Form Data Entry'!E86)</f>
        <v>Tenant Improvements - one time payment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687890</v>
      </c>
      <c r="L40" s="80">
        <f t="shared" si="7"/>
        <v>687890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68" t="s">
        <v>57</v>
      </c>
      <c r="C41" s="469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84" t="s">
        <v>26</v>
      </c>
      <c r="C42" s="485"/>
      <c r="D42" s="45"/>
      <c r="E42" s="45"/>
      <c r="F42" s="45"/>
      <c r="G42" s="45"/>
      <c r="H42" s="200" t="str">
        <f>IF('2a.  Simple Form Data Entry'!E88="","  ",'2a.  Simple Form Data Entry'!E88)</f>
        <v>Estimated minor repairs cost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2000</v>
      </c>
      <c r="L42" s="80">
        <f t="shared" si="7"/>
        <v>2000</v>
      </c>
      <c r="M42" s="80">
        <f>'2a.  Simple Form Data Entry'!I88</f>
        <v>2000</v>
      </c>
      <c r="N42" s="80">
        <f>'2a.  Simple Form Data Entry'!J88</f>
        <v>2000</v>
      </c>
      <c r="O42" s="80">
        <f t="shared" si="5"/>
        <v>4000</v>
      </c>
      <c r="P42" s="80">
        <f>'2a.  Simple Form Data Entry'!K88</f>
        <v>2000</v>
      </c>
      <c r="Q42" s="80">
        <f>'2a.  Simple Form Data Entry'!L88</f>
        <v>2000</v>
      </c>
      <c r="R42" s="80">
        <f t="shared" si="6"/>
        <v>4000</v>
      </c>
      <c r="S42" s="83">
        <f>'2a.  Simple Form Data Entry'!M88</f>
        <v>8000</v>
      </c>
      <c r="T42" s="12"/>
    </row>
    <row r="43" spans="1:20" ht="13.8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1036913</v>
      </c>
      <c r="L43" s="63">
        <f t="shared" si="7"/>
        <v>1036913</v>
      </c>
      <c r="M43" s="63">
        <f t="shared" si="8"/>
        <v>485042</v>
      </c>
      <c r="N43" s="63">
        <f t="shared" si="8"/>
        <v>496028</v>
      </c>
      <c r="O43" s="63">
        <f t="shared" si="5"/>
        <v>981070</v>
      </c>
      <c r="P43" s="63">
        <f aca="true" t="shared" si="9" ref="P43:Q43">SUM(P36:P42)</f>
        <v>507040</v>
      </c>
      <c r="Q43" s="63">
        <f t="shared" si="9"/>
        <v>518080</v>
      </c>
      <c r="R43" s="63">
        <f t="shared" si="6"/>
        <v>1025120</v>
      </c>
      <c r="S43" s="64">
        <f t="shared" si="8"/>
        <v>1212642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8">
      <c r="A45" s="481" t="str">
        <f>IF('2a.  Simple Form Data Entry'!E91="","   ",'2a.  Simple Form Data Entry'!E91)</f>
        <v xml:space="preserve">   </v>
      </c>
      <c r="B45" s="482"/>
      <c r="C45" s="483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68" t="s">
        <v>55</v>
      </c>
      <c r="C49" s="469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70" t="s">
        <v>56</v>
      </c>
      <c r="C50" s="471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68" t="s">
        <v>57</v>
      </c>
      <c r="C51" s="469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84" t="s">
        <v>26</v>
      </c>
      <c r="C52" s="485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8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8" hidden="1">
      <c r="A55" s="481" t="str">
        <f>IF('2a.  Simple Form Data Entry'!E102="","   ",'2a.  Simple Form Data Entry'!E102)</f>
        <v xml:space="preserve">   </v>
      </c>
      <c r="B55" s="482"/>
      <c r="C55" s="483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68" t="s">
        <v>55</v>
      </c>
      <c r="C59" s="469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70" t="s">
        <v>56</v>
      </c>
      <c r="C60" s="471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68" t="s">
        <v>57</v>
      </c>
      <c r="C61" s="469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84" t="s">
        <v>26</v>
      </c>
      <c r="C62" s="485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8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8" hidden="1">
      <c r="A65" s="481" t="str">
        <f>IF('2a.  Simple Form Data Entry'!E113="","   ",'2a.  Simple Form Data Entry'!E113)</f>
        <v xml:space="preserve">   </v>
      </c>
      <c r="B65" s="482"/>
      <c r="C65" s="483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68" t="s">
        <v>55</v>
      </c>
      <c r="C69" s="469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70" t="s">
        <v>56</v>
      </c>
      <c r="C70" s="471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68" t="s">
        <v>57</v>
      </c>
      <c r="C71" s="469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84" t="s">
        <v>26</v>
      </c>
      <c r="C72" s="485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8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8" hidden="1">
      <c r="A75" s="481" t="str">
        <f>IF('2a.  Simple Form Data Entry'!E124="","   ",'2a.  Simple Form Data Entry'!E124)</f>
        <v xml:space="preserve">   </v>
      </c>
      <c r="B75" s="482"/>
      <c r="C75" s="483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8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8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8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8" hidden="1">
      <c r="A79" s="19"/>
      <c r="B79" s="468" t="s">
        <v>55</v>
      </c>
      <c r="C79" s="469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8" hidden="1">
      <c r="A80" s="19"/>
      <c r="B80" s="470" t="s">
        <v>56</v>
      </c>
      <c r="C80" s="471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8" hidden="1">
      <c r="A81" s="19"/>
      <c r="B81" s="468" t="s">
        <v>57</v>
      </c>
      <c r="C81" s="469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8" hidden="1">
      <c r="A82" s="19"/>
      <c r="B82" s="484" t="s">
        <v>26</v>
      </c>
      <c r="C82" s="485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8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8" hidden="1">
      <c r="A85" s="481" t="str">
        <f>IF('2a.  Simple Form Data Entry'!E135="","   ",'2a.  Simple Form Data Entry'!E135)</f>
        <v xml:space="preserve">   </v>
      </c>
      <c r="B85" s="482"/>
      <c r="C85" s="483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8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8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8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8" hidden="1">
      <c r="A89" s="19"/>
      <c r="B89" s="468" t="s">
        <v>55</v>
      </c>
      <c r="C89" s="469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8" hidden="1">
      <c r="A90" s="19"/>
      <c r="B90" s="470" t="s">
        <v>56</v>
      </c>
      <c r="C90" s="471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8" hidden="1">
      <c r="A91" s="19"/>
      <c r="B91" s="468" t="s">
        <v>57</v>
      </c>
      <c r="C91" s="469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8" hidden="1">
      <c r="A92" s="19"/>
      <c r="B92" s="484" t="s">
        <v>26</v>
      </c>
      <c r="C92" s="485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1036913</v>
      </c>
      <c r="L95" s="56">
        <f t="shared" si="10"/>
        <v>1036913</v>
      </c>
      <c r="M95" s="56">
        <f t="shared" si="23"/>
        <v>485042</v>
      </c>
      <c r="N95" s="56">
        <f t="shared" si="23"/>
        <v>496028</v>
      </c>
      <c r="O95" s="56">
        <f t="shared" si="11"/>
        <v>981070</v>
      </c>
      <c r="P95" s="56">
        <f aca="true" t="shared" si="24" ref="P95:Q95">P73+P63+P53+P43+P83+P93</f>
        <v>507040</v>
      </c>
      <c r="Q95" s="56">
        <f t="shared" si="24"/>
        <v>518080</v>
      </c>
      <c r="R95" s="56">
        <f t="shared" si="12"/>
        <v>1025120</v>
      </c>
      <c r="S95" s="65">
        <f t="shared" si="23"/>
        <v>1212642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508" t="s">
        <v>15</v>
      </c>
      <c r="B97" s="508"/>
      <c r="C97" s="508"/>
      <c r="D97" s="508"/>
      <c r="E97" s="508"/>
      <c r="F97" s="508"/>
      <c r="G97" s="508"/>
      <c r="H97" s="508"/>
      <c r="I97" s="508"/>
      <c r="J97" s="508"/>
      <c r="K97" s="508"/>
      <c r="L97" s="508"/>
      <c r="M97" s="508"/>
      <c r="N97" s="508"/>
      <c r="O97" s="508"/>
      <c r="P97" s="508"/>
      <c r="Q97" s="508"/>
      <c r="R97" s="508"/>
      <c r="S97" s="50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8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531" t="s">
        <v>18</v>
      </c>
      <c r="B101" s="532"/>
      <c r="C101" s="533"/>
      <c r="D101" s="493" t="s">
        <v>19</v>
      </c>
      <c r="E101" s="493" t="s">
        <v>5</v>
      </c>
      <c r="F101" s="486" t="s">
        <v>104</v>
      </c>
      <c r="G101" s="493" t="s">
        <v>11</v>
      </c>
      <c r="H101" s="504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88" t="str">
        <f>CONCATENATE(L24," Appropriation Change")</f>
        <v>2017 / 2018 Appropriation Change</v>
      </c>
      <c r="P101" s="42"/>
      <c r="Q101" s="314"/>
      <c r="R101" s="497" t="s">
        <v>135</v>
      </c>
      <c r="S101" s="498"/>
      <c r="T101" s="42"/>
    </row>
    <row r="102" spans="1:20" ht="27.75" customHeight="1" thickBot="1">
      <c r="A102" s="534"/>
      <c r="B102" s="535"/>
      <c r="C102" s="536"/>
      <c r="D102" s="494"/>
      <c r="E102" s="494"/>
      <c r="F102" s="487"/>
      <c r="G102" s="494"/>
      <c r="H102" s="505"/>
      <c r="I102" s="316"/>
      <c r="J102" s="191" t="s">
        <v>24</v>
      </c>
      <c r="K102" s="287" t="str">
        <f>'2a.  Simple Form Data Entry'!H156</f>
        <v>Allocation Change</v>
      </c>
      <c r="L102" s="489"/>
      <c r="P102" s="42"/>
      <c r="Q102" s="314"/>
      <c r="R102" s="499"/>
      <c r="S102" s="500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95">
        <f>'2a.  Simple Form Data Entry'!J157</f>
        <v>0</v>
      </c>
      <c r="S103" s="496"/>
      <c r="T103" s="42"/>
    </row>
    <row r="104" spans="1:20" ht="13.8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74">
        <f>'2a.  Simple Form Data Entry'!J158</f>
        <v>0</v>
      </c>
      <c r="S104" s="475"/>
      <c r="T104" s="42"/>
    </row>
    <row r="105" spans="1:20" ht="13.8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74">
        <f>'2a.  Simple Form Data Entry'!J159</f>
        <v>0</v>
      </c>
      <c r="S105" s="475"/>
      <c r="T105" s="42"/>
    </row>
    <row r="106" spans="1:20" ht="13.8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74">
        <f>'2a.  Simple Form Data Entry'!J160</f>
        <v>0</v>
      </c>
      <c r="S106" s="475"/>
      <c r="T106" s="42"/>
    </row>
    <row r="107" spans="1:20" ht="13.8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74">
        <f>'2a.  Simple Form Data Entry'!J161</f>
        <v>0</v>
      </c>
      <c r="S107" s="475"/>
      <c r="T107" s="42"/>
    </row>
    <row r="108" spans="1:20" ht="13.8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74">
        <f>'2a.  Simple Form Data Entry'!J162</f>
        <v>0</v>
      </c>
      <c r="S108" s="475"/>
      <c r="T108" s="42"/>
    </row>
    <row r="109" spans="1:20" ht="14.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76">
        <f>SUM(R103:S107)</f>
        <v>0</v>
      </c>
      <c r="S109" s="477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506" t="str">
        <f>IF('2a.  Simple Form Data Entry'!G39="Y","See note 5 below.",'2a.  Simple Form Data Entry'!D43)</f>
        <v>An NPV analysis was not performed because only one site was considered that met operational requirements.</v>
      </c>
      <c r="C112" s="506"/>
      <c r="D112" s="506"/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  <c r="O112" s="506"/>
      <c r="P112" s="506"/>
      <c r="Q112" s="506"/>
      <c r="R112" s="506"/>
      <c r="S112" s="506"/>
      <c r="T112" s="5"/>
    </row>
    <row r="113" spans="1:20" ht="13.8">
      <c r="A113" s="68" t="s">
        <v>112</v>
      </c>
      <c r="B113" s="501" t="s">
        <v>148</v>
      </c>
      <c r="C113" s="501"/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"/>
    </row>
    <row r="114" spans="1:20" ht="15" customHeight="1">
      <c r="A114" s="69" t="s">
        <v>52</v>
      </c>
      <c r="B114" s="502" t="s">
        <v>116</v>
      </c>
      <c r="C114" s="502"/>
      <c r="D114" s="502"/>
      <c r="E114" s="502"/>
      <c r="F114" s="502"/>
      <c r="G114" s="502"/>
      <c r="H114" s="502"/>
      <c r="I114" s="502"/>
      <c r="J114" s="502"/>
      <c r="K114" s="502"/>
      <c r="L114" s="502"/>
      <c r="M114" s="502"/>
      <c r="N114" s="502"/>
      <c r="O114" s="502"/>
      <c r="P114" s="502"/>
      <c r="Q114" s="502"/>
      <c r="R114" s="502"/>
      <c r="S114" s="502"/>
      <c r="T114" s="5"/>
    </row>
    <row r="115" spans="1:20" ht="13.8">
      <c r="A115" s="69" t="s">
        <v>113</v>
      </c>
      <c r="B115" s="503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503"/>
      <c r="D115" s="503"/>
      <c r="E115" s="503"/>
      <c r="F115" s="503"/>
      <c r="G115" s="503"/>
      <c r="H115" s="503"/>
      <c r="I115" s="503"/>
      <c r="J115" s="503"/>
      <c r="K115" s="503"/>
      <c r="L115" s="503"/>
      <c r="M115" s="503"/>
      <c r="N115" s="503"/>
      <c r="O115" s="503"/>
      <c r="P115" s="503"/>
      <c r="Q115" s="503"/>
      <c r="R115" s="503"/>
      <c r="S115" s="503"/>
      <c r="T115" s="5"/>
    </row>
    <row r="116" spans="1:20" ht="13.5" customHeight="1">
      <c r="A116" s="67" t="s">
        <v>114</v>
      </c>
      <c r="B116" s="492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92"/>
      <c r="T116" s="5"/>
    </row>
    <row r="117" spans="1:20" ht="16.5" customHeight="1">
      <c r="A117" s="67" t="s">
        <v>118</v>
      </c>
      <c r="B117" s="491" t="s">
        <v>111</v>
      </c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491"/>
      <c r="O117" s="491"/>
      <c r="P117" s="491"/>
      <c r="Q117" s="491"/>
      <c r="R117" s="491"/>
      <c r="S117" s="491"/>
      <c r="T117" s="5"/>
    </row>
    <row r="118" spans="1:19" ht="14.25" customHeight="1">
      <c r="A118" s="67"/>
      <c r="B118" s="490" t="str">
        <f>'2a.  Simple Form Data Entry'!C174</f>
        <v>- Base year operating costs estimated to be $9.50/rsf with 5% annual increases.</v>
      </c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0"/>
    </row>
    <row r="119" spans="1:19" ht="13.8">
      <c r="A119" s="67"/>
      <c r="B119" s="490" t="str">
        <f>'2a.  Simple Form Data Entry'!C175</f>
        <v>- Minor repair costs estimated at $2,000/year.</v>
      </c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</row>
    <row r="120" spans="1:19" ht="12.75" customHeight="1">
      <c r="A120" s="67"/>
      <c r="B120" s="490" t="str">
        <f>'2a.  Simple Form Data Entry'!C176</f>
        <v>-  See corresponding capital project fiscal note for information regarding capital project revenue backing.</v>
      </c>
      <c r="C120" s="490"/>
      <c r="D120" s="490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490"/>
      <c r="R120" s="490"/>
      <c r="S120" s="490"/>
    </row>
    <row r="121" spans="1:19" ht="15" customHeight="1">
      <c r="A121" s="67"/>
      <c r="B121" s="490"/>
      <c r="C121" s="490"/>
      <c r="D121" s="490"/>
      <c r="E121" s="490"/>
      <c r="F121" s="490"/>
      <c r="G121" s="490"/>
      <c r="H121" s="490"/>
      <c r="I121" s="490"/>
      <c r="J121" s="490"/>
      <c r="K121" s="490"/>
      <c r="L121" s="490"/>
      <c r="M121" s="490"/>
      <c r="N121" s="490"/>
      <c r="O121" s="490"/>
      <c r="P121" s="490"/>
      <c r="Q121" s="490"/>
      <c r="R121" s="490"/>
      <c r="S121" s="490"/>
    </row>
    <row r="122" spans="1:20" ht="13.8">
      <c r="A122" s="67"/>
      <c r="B122" s="490"/>
      <c r="C122" s="490"/>
      <c r="D122" s="490"/>
      <c r="E122" s="490"/>
      <c r="F122" s="490"/>
      <c r="G122" s="490"/>
      <c r="H122" s="490"/>
      <c r="I122" s="490"/>
      <c r="J122" s="490"/>
      <c r="K122" s="490"/>
      <c r="L122" s="490"/>
      <c r="M122" s="490"/>
      <c r="N122" s="490"/>
      <c r="O122" s="490"/>
      <c r="P122" s="490"/>
      <c r="Q122" s="490"/>
      <c r="R122" s="490"/>
      <c r="S122" s="490"/>
      <c r="T122" s="5"/>
    </row>
    <row r="123" spans="1:19" ht="13.8">
      <c r="A123" s="67"/>
      <c r="B123" s="490"/>
      <c r="C123" s="490"/>
      <c r="D123" s="490"/>
      <c r="E123" s="490"/>
      <c r="F123" s="490"/>
      <c r="G123" s="490"/>
      <c r="H123" s="490"/>
      <c r="I123" s="490"/>
      <c r="J123" s="490"/>
      <c r="K123" s="490"/>
      <c r="L123" s="490"/>
      <c r="M123" s="490"/>
      <c r="N123" s="490"/>
      <c r="O123" s="490"/>
      <c r="P123" s="490"/>
      <c r="Q123" s="490"/>
      <c r="R123" s="490"/>
      <c r="S123" s="490"/>
    </row>
    <row r="124" spans="1:19" ht="13.8">
      <c r="A124" t="str">
        <f>IF('2a.  Simple Form Data Entry'!C180=""," ","6.")</f>
        <v xml:space="preserve"> </v>
      </c>
      <c r="B124" s="490"/>
      <c r="C124" s="490"/>
      <c r="D124" s="490"/>
      <c r="E124" s="490"/>
      <c r="F124" s="490"/>
      <c r="G124" s="490"/>
      <c r="H124" s="490"/>
      <c r="I124" s="490"/>
      <c r="J124" s="490"/>
      <c r="K124" s="490"/>
      <c r="L124" s="490"/>
      <c r="M124" s="490"/>
      <c r="N124" s="490"/>
      <c r="O124" s="490"/>
      <c r="P124" s="490"/>
      <c r="Q124" s="490"/>
      <c r="R124" s="490"/>
      <c r="S124" s="490"/>
    </row>
    <row r="125" spans="1:19" ht="13.8">
      <c r="A125" s="69"/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490"/>
      <c r="Q125" s="490"/>
      <c r="R125" s="490"/>
      <c r="S125" s="490"/>
    </row>
    <row r="126" spans="1:19" ht="13.8">
      <c r="A126" s="69"/>
      <c r="B126" s="490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5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 topLeftCell="A1">
      <selection activeCell="D18" sqref="D18"/>
    </sheetView>
  </sheetViews>
  <sheetFormatPr defaultColWidth="9.140625" defaultRowHeight="12.75"/>
  <cols>
    <col min="1" max="1" width="13.00390625" style="336" customWidth="1"/>
    <col min="2" max="2" width="16.7109375" style="336" customWidth="1"/>
    <col min="3" max="3" width="14.28125" style="336" customWidth="1"/>
    <col min="4" max="4" width="15.28125" style="336" customWidth="1"/>
    <col min="5" max="5" width="13.57421875" style="336" customWidth="1"/>
    <col min="6" max="6" width="15.28125" style="336" customWidth="1"/>
    <col min="7" max="7" width="13.8515625" style="336" customWidth="1"/>
    <col min="8" max="8" width="15.28125" style="336" customWidth="1"/>
    <col min="9" max="9" width="15.140625" style="336" customWidth="1"/>
    <col min="10" max="10" width="13.421875" style="336" customWidth="1"/>
    <col min="11" max="11" width="14.7109375" style="336" customWidth="1"/>
    <col min="12" max="16384" width="9.140625" style="336" customWidth="1"/>
  </cols>
  <sheetData>
    <row r="1" spans="1:4" ht="12.75">
      <c r="A1" s="335" t="s">
        <v>168</v>
      </c>
      <c r="C1" s="337">
        <v>20926</v>
      </c>
      <c r="D1" s="338" t="s">
        <v>169</v>
      </c>
    </row>
    <row r="2" spans="1:4" ht="15" customHeight="1" thickBot="1">
      <c r="A2" s="335"/>
      <c r="C2" s="337"/>
      <c r="D2" s="338"/>
    </row>
    <row r="3" spans="1:7" ht="21" customHeight="1" thickBot="1">
      <c r="A3" s="339" t="s">
        <v>170</v>
      </c>
      <c r="B3" s="340"/>
      <c r="C3" s="341"/>
      <c r="D3" s="342"/>
      <c r="E3" s="343"/>
      <c r="F3" s="343"/>
      <c r="G3" s="344"/>
    </row>
    <row r="4" spans="1:7" ht="12.75">
      <c r="A4" s="345" t="s">
        <v>171</v>
      </c>
      <c r="B4" s="346"/>
      <c r="C4" s="347"/>
      <c r="D4" s="347"/>
      <c r="E4" s="347"/>
      <c r="F4" s="347"/>
      <c r="G4" s="348">
        <v>941670</v>
      </c>
    </row>
    <row r="5" spans="1:7" ht="15" thickBot="1">
      <c r="A5" s="349" t="s">
        <v>172</v>
      </c>
      <c r="B5" s="350"/>
      <c r="C5" s="351"/>
      <c r="D5" s="351"/>
      <c r="E5" s="351"/>
      <c r="F5" s="351"/>
      <c r="G5" s="352">
        <v>600000</v>
      </c>
    </row>
    <row r="6" ht="9" customHeight="1" thickBot="1"/>
    <row r="7" spans="1:11" ht="21" customHeight="1" thickBot="1">
      <c r="A7" s="353" t="s">
        <v>173</v>
      </c>
      <c r="B7" s="354"/>
      <c r="C7" s="354"/>
      <c r="D7" s="354"/>
      <c r="E7" s="354"/>
      <c r="F7" s="354"/>
      <c r="G7" s="354"/>
      <c r="H7" s="354"/>
      <c r="I7" s="354"/>
      <c r="J7" s="354"/>
      <c r="K7" s="355"/>
    </row>
    <row r="8" spans="1:11" ht="15" thickBot="1">
      <c r="A8" s="356" t="s">
        <v>174</v>
      </c>
      <c r="B8" s="357" t="s">
        <v>175</v>
      </c>
      <c r="C8" s="358">
        <v>2017</v>
      </c>
      <c r="D8" s="358">
        <v>2018</v>
      </c>
      <c r="E8" s="359">
        <v>2019</v>
      </c>
      <c r="F8" s="359">
        <v>2020</v>
      </c>
      <c r="G8" s="360">
        <v>2021</v>
      </c>
      <c r="H8" s="360">
        <v>2022</v>
      </c>
      <c r="I8" s="361">
        <v>2023</v>
      </c>
      <c r="J8" s="361">
        <v>2024</v>
      </c>
      <c r="K8" s="362">
        <v>2025</v>
      </c>
    </row>
    <row r="9" spans="1:11" ht="12.75">
      <c r="A9" s="363" t="s">
        <v>176</v>
      </c>
      <c r="B9" s="364">
        <v>0</v>
      </c>
      <c r="C9" s="365" t="s">
        <v>177</v>
      </c>
      <c r="D9" s="365" t="s">
        <v>178</v>
      </c>
      <c r="E9" s="366"/>
      <c r="F9" s="366"/>
      <c r="G9" s="366"/>
      <c r="H9" s="366"/>
      <c r="I9" s="366"/>
      <c r="J9" s="366"/>
      <c r="K9" s="367"/>
    </row>
    <row r="10" spans="1:11" ht="12.75">
      <c r="A10" s="363" t="s">
        <v>179</v>
      </c>
      <c r="B10" s="364">
        <f>SUM(C1*22)/12</f>
        <v>38364.333333333336</v>
      </c>
      <c r="C10" s="366"/>
      <c r="D10" s="366">
        <f>B10*7</f>
        <v>268550.3333333334</v>
      </c>
      <c r="E10" s="366"/>
      <c r="F10" s="366"/>
      <c r="G10" s="366"/>
      <c r="H10" s="366"/>
      <c r="I10" s="366"/>
      <c r="J10" s="366"/>
      <c r="K10" s="367"/>
    </row>
    <row r="11" spans="1:11" ht="12.75">
      <c r="A11" s="368" t="s">
        <v>180</v>
      </c>
      <c r="B11" s="364">
        <f>SUM(C1*22.5)/12</f>
        <v>39236.25</v>
      </c>
      <c r="C11" s="366"/>
      <c r="D11" s="366">
        <f>B11*2</f>
        <v>78472.5</v>
      </c>
      <c r="E11" s="366">
        <f>B11*10</f>
        <v>392362.5</v>
      </c>
      <c r="F11" s="366"/>
      <c r="G11" s="366"/>
      <c r="H11" s="366"/>
      <c r="I11" s="366"/>
      <c r="J11" s="366"/>
      <c r="K11" s="367"/>
    </row>
    <row r="12" spans="1:11" ht="12.75">
      <c r="A12" s="368" t="s">
        <v>181</v>
      </c>
      <c r="B12" s="364">
        <f>SUM(C1*23)/12</f>
        <v>40108.166666666664</v>
      </c>
      <c r="C12" s="366"/>
      <c r="D12" s="366"/>
      <c r="E12" s="366">
        <f>B12*2</f>
        <v>80216.33333333333</v>
      </c>
      <c r="F12" s="366">
        <f>B12*10</f>
        <v>401081.6666666666</v>
      </c>
      <c r="G12" s="366"/>
      <c r="H12" s="366"/>
      <c r="I12" s="366"/>
      <c r="J12" s="366"/>
      <c r="K12" s="367"/>
    </row>
    <row r="13" spans="1:11" ht="12.75">
      <c r="A13" s="368" t="s">
        <v>182</v>
      </c>
      <c r="B13" s="364">
        <f>SUM(C1*23.5)/12</f>
        <v>40980.083333333336</v>
      </c>
      <c r="C13" s="366"/>
      <c r="D13" s="366"/>
      <c r="E13" s="366"/>
      <c r="F13" s="366">
        <f>B13*2</f>
        <v>81960.16666666667</v>
      </c>
      <c r="G13" s="366">
        <f>B13*10</f>
        <v>409800.8333333334</v>
      </c>
      <c r="H13" s="366"/>
      <c r="I13" s="366"/>
      <c r="J13" s="366"/>
      <c r="K13" s="367"/>
    </row>
    <row r="14" spans="1:11" ht="12.75">
      <c r="A14" s="368" t="s">
        <v>183</v>
      </c>
      <c r="B14" s="364">
        <f>SUM(C1*24)/12</f>
        <v>41852</v>
      </c>
      <c r="C14" s="366"/>
      <c r="D14" s="366"/>
      <c r="E14" s="366"/>
      <c r="F14" s="366"/>
      <c r="G14" s="366">
        <f>B14*2</f>
        <v>83704</v>
      </c>
      <c r="H14" s="366">
        <f>B14*10</f>
        <v>418520</v>
      </c>
      <c r="I14" s="366"/>
      <c r="J14" s="366"/>
      <c r="K14" s="367"/>
    </row>
    <row r="15" spans="1:19" ht="12.75">
      <c r="A15" s="368" t="s">
        <v>184</v>
      </c>
      <c r="B15" s="364">
        <f>SUM(C1*24.5)/12</f>
        <v>42723.916666666664</v>
      </c>
      <c r="C15" s="366"/>
      <c r="D15" s="366"/>
      <c r="E15" s="366"/>
      <c r="F15" s="366"/>
      <c r="G15" s="366"/>
      <c r="H15" s="366">
        <f>B15*2</f>
        <v>85447.83333333333</v>
      </c>
      <c r="I15" s="366">
        <f>B15*10</f>
        <v>427239.1666666666</v>
      </c>
      <c r="J15" s="366"/>
      <c r="K15" s="367"/>
      <c r="S15" s="338"/>
    </row>
    <row r="16" spans="1:11" ht="12.75">
      <c r="A16" s="368" t="s">
        <v>185</v>
      </c>
      <c r="B16" s="364">
        <f>SUM(C1*25)/12</f>
        <v>43595.833333333336</v>
      </c>
      <c r="C16" s="366"/>
      <c r="D16" s="366"/>
      <c r="E16" s="366"/>
      <c r="F16" s="366"/>
      <c r="G16" s="366"/>
      <c r="H16" s="366"/>
      <c r="I16" s="366">
        <f>B16*2</f>
        <v>87191.66666666667</v>
      </c>
      <c r="J16" s="366">
        <f>B16*10</f>
        <v>435958.3333333334</v>
      </c>
      <c r="K16" s="367"/>
    </row>
    <row r="17" spans="1:11" ht="15" thickBot="1">
      <c r="A17" s="363" t="s">
        <v>186</v>
      </c>
      <c r="B17" s="364">
        <f>SUM(C1*25.5)/12</f>
        <v>44467.75</v>
      </c>
      <c r="C17" s="366"/>
      <c r="D17" s="366"/>
      <c r="E17" s="366"/>
      <c r="F17" s="366"/>
      <c r="G17" s="366"/>
      <c r="H17" s="366"/>
      <c r="I17" s="366"/>
      <c r="J17" s="366">
        <f>B17*2</f>
        <v>88935.5</v>
      </c>
      <c r="K17" s="367">
        <f>B17*3</f>
        <v>133403.25</v>
      </c>
    </row>
    <row r="18" spans="1:11" ht="15" thickBot="1">
      <c r="A18" s="369" t="s">
        <v>187</v>
      </c>
      <c r="B18" s="370"/>
      <c r="C18" s="371">
        <v>0</v>
      </c>
      <c r="D18" s="372">
        <f aca="true" t="shared" si="0" ref="D18:K18">SUM(D9:D17)</f>
        <v>347022.8333333334</v>
      </c>
      <c r="E18" s="372">
        <f t="shared" si="0"/>
        <v>472578.8333333333</v>
      </c>
      <c r="F18" s="372">
        <f t="shared" si="0"/>
        <v>483041.8333333333</v>
      </c>
      <c r="G18" s="372">
        <f t="shared" si="0"/>
        <v>493504.8333333334</v>
      </c>
      <c r="H18" s="372">
        <f t="shared" si="0"/>
        <v>503967.8333333333</v>
      </c>
      <c r="I18" s="372">
        <f t="shared" si="0"/>
        <v>514430.8333333333</v>
      </c>
      <c r="J18" s="372">
        <f t="shared" si="0"/>
        <v>524893.8333333334</v>
      </c>
      <c r="K18" s="373">
        <f t="shared" si="0"/>
        <v>133403.25</v>
      </c>
    </row>
    <row r="19" spans="1:11" ht="11.25" customHeight="1" thickBot="1">
      <c r="A19" s="374"/>
      <c r="B19" s="375"/>
      <c r="C19" s="375"/>
      <c r="D19" s="376"/>
      <c r="E19" s="376"/>
      <c r="F19" s="376"/>
      <c r="G19" s="376"/>
      <c r="H19" s="376"/>
      <c r="I19" s="376"/>
      <c r="J19" s="376"/>
      <c r="K19" s="376"/>
    </row>
    <row r="20" spans="1:11" ht="22.5" customHeight="1" thickBot="1">
      <c r="A20" s="377" t="s">
        <v>188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5"/>
    </row>
    <row r="21" spans="1:11" ht="15" thickBot="1">
      <c r="A21" s="378" t="s">
        <v>189</v>
      </c>
      <c r="B21" s="379" t="s">
        <v>190</v>
      </c>
      <c r="C21" s="358">
        <v>2017</v>
      </c>
      <c r="D21" s="358">
        <v>2018</v>
      </c>
      <c r="E21" s="359">
        <v>2019</v>
      </c>
      <c r="F21" s="359">
        <v>2020</v>
      </c>
      <c r="G21" s="360">
        <v>2021</v>
      </c>
      <c r="H21" s="360">
        <v>2022</v>
      </c>
      <c r="I21" s="361">
        <v>2023</v>
      </c>
      <c r="J21" s="361">
        <v>2024</v>
      </c>
      <c r="K21" s="362">
        <v>2025</v>
      </c>
    </row>
    <row r="22" spans="1:11" ht="12.75">
      <c r="A22" s="368">
        <v>2017</v>
      </c>
      <c r="B22" s="380" t="s">
        <v>48</v>
      </c>
      <c r="C22" s="366">
        <v>0</v>
      </c>
      <c r="D22" s="366"/>
      <c r="E22" s="366"/>
      <c r="F22" s="366"/>
      <c r="G22" s="366"/>
      <c r="H22" s="366"/>
      <c r="I22" s="366"/>
      <c r="J22" s="366"/>
      <c r="K22" s="367"/>
    </row>
    <row r="23" spans="1:11" ht="12.75">
      <c r="A23" s="368">
        <v>2018</v>
      </c>
      <c r="B23" s="380" t="s">
        <v>191</v>
      </c>
      <c r="C23" s="366"/>
      <c r="D23" s="366">
        <v>0</v>
      </c>
      <c r="E23" s="366"/>
      <c r="F23" s="366"/>
      <c r="G23" s="366"/>
      <c r="H23" s="366"/>
      <c r="I23" s="366"/>
      <c r="J23" s="366"/>
      <c r="K23" s="367"/>
    </row>
    <row r="24" spans="1:11" ht="12.75">
      <c r="A24" s="368">
        <v>2019</v>
      </c>
      <c r="B24" s="381">
        <f>SUM(C1)*0.5/12</f>
        <v>871.9166666666666</v>
      </c>
      <c r="C24" s="366"/>
      <c r="D24" s="366"/>
      <c r="E24" s="366">
        <f>B24*12</f>
        <v>10463</v>
      </c>
      <c r="F24" s="366"/>
      <c r="G24" s="366"/>
      <c r="H24" s="366"/>
      <c r="I24" s="366"/>
      <c r="J24" s="366"/>
      <c r="K24" s="367"/>
    </row>
    <row r="25" spans="1:11" ht="12.75">
      <c r="A25" s="368">
        <v>2020</v>
      </c>
      <c r="B25" s="381">
        <f>SUM(B24)*1.05</f>
        <v>915.5125</v>
      </c>
      <c r="C25" s="366"/>
      <c r="D25" s="366"/>
      <c r="E25" s="366"/>
      <c r="F25" s="366">
        <f>B25*12</f>
        <v>10986.150000000001</v>
      </c>
      <c r="G25" s="366"/>
      <c r="H25" s="366"/>
      <c r="I25" s="366"/>
      <c r="J25" s="366"/>
      <c r="K25" s="367"/>
    </row>
    <row r="26" spans="1:11" ht="12.75">
      <c r="A26" s="368">
        <v>2021</v>
      </c>
      <c r="B26" s="381">
        <f aca="true" t="shared" si="1" ref="B26:B29">SUM(B25)*1.05</f>
        <v>961.288125</v>
      </c>
      <c r="C26" s="366"/>
      <c r="D26" s="366"/>
      <c r="E26" s="366"/>
      <c r="F26" s="366"/>
      <c r="G26" s="366">
        <f>B26*12</f>
        <v>11535.4575</v>
      </c>
      <c r="H26" s="366"/>
      <c r="I26" s="366"/>
      <c r="J26" s="366"/>
      <c r="K26" s="367"/>
    </row>
    <row r="27" spans="1:11" ht="12.75">
      <c r="A27" s="368">
        <v>2022</v>
      </c>
      <c r="B27" s="381">
        <f t="shared" si="1"/>
        <v>1009.3525312500001</v>
      </c>
      <c r="C27" s="366"/>
      <c r="D27" s="366"/>
      <c r="E27" s="366"/>
      <c r="F27" s="366"/>
      <c r="G27" s="366"/>
      <c r="H27" s="366">
        <f>B27*12</f>
        <v>12112.230375000001</v>
      </c>
      <c r="I27" s="366"/>
      <c r="J27" s="366"/>
      <c r="K27" s="367"/>
    </row>
    <row r="28" spans="1:11" ht="12.75">
      <c r="A28" s="368">
        <v>2023</v>
      </c>
      <c r="B28" s="381">
        <f t="shared" si="1"/>
        <v>1059.8201578125002</v>
      </c>
      <c r="C28" s="366"/>
      <c r="D28" s="366"/>
      <c r="E28" s="366"/>
      <c r="F28" s="366"/>
      <c r="G28" s="366"/>
      <c r="H28" s="366"/>
      <c r="I28" s="366">
        <f>B28*12</f>
        <v>12717.841893750003</v>
      </c>
      <c r="J28" s="366"/>
      <c r="K28" s="367"/>
    </row>
    <row r="29" spans="1:11" ht="12.75">
      <c r="A29" s="368">
        <v>2024</v>
      </c>
      <c r="B29" s="381">
        <f t="shared" si="1"/>
        <v>1112.8111657031252</v>
      </c>
      <c r="C29" s="366"/>
      <c r="D29" s="366"/>
      <c r="E29" s="366"/>
      <c r="F29" s="366"/>
      <c r="G29" s="366"/>
      <c r="H29" s="366"/>
      <c r="I29" s="366"/>
      <c r="J29" s="366">
        <f>B29*12</f>
        <v>13353.733988437503</v>
      </c>
      <c r="K29" s="367"/>
    </row>
    <row r="30" spans="1:11" ht="15" thickBot="1">
      <c r="A30" s="382">
        <v>2025</v>
      </c>
      <c r="B30" s="383">
        <f>SUM(B29)*1.05</f>
        <v>1168.4517239882814</v>
      </c>
      <c r="C30" s="384"/>
      <c r="D30" s="384"/>
      <c r="E30" s="384"/>
      <c r="F30" s="384"/>
      <c r="G30" s="384"/>
      <c r="H30" s="384"/>
      <c r="I30" s="384"/>
      <c r="J30" s="384"/>
      <c r="K30" s="385">
        <f>B30*5</f>
        <v>5842.258619941407</v>
      </c>
    </row>
    <row r="31" spans="1:11" ht="12.75">
      <c r="A31" s="386" t="s">
        <v>192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</row>
    <row r="32" spans="1:11" ht="7.5" customHeight="1" thickBot="1">
      <c r="A32" s="387"/>
      <c r="B32" s="387"/>
      <c r="C32" s="387"/>
      <c r="D32" s="387"/>
      <c r="E32" s="387"/>
      <c r="F32" s="387"/>
      <c r="G32" s="387"/>
      <c r="H32" s="387"/>
      <c r="I32" s="387"/>
      <c r="J32" s="387"/>
      <c r="K32" s="387"/>
    </row>
    <row r="33" spans="1:11" ht="12.75">
      <c r="A33" s="388"/>
      <c r="B33" s="389"/>
      <c r="C33" s="390">
        <v>2017</v>
      </c>
      <c r="D33" s="390">
        <v>2018</v>
      </c>
      <c r="E33" s="391">
        <v>2019</v>
      </c>
      <c r="F33" s="391">
        <v>2020</v>
      </c>
      <c r="G33" s="392">
        <v>2021</v>
      </c>
      <c r="H33" s="392">
        <v>2022</v>
      </c>
      <c r="I33" s="393">
        <v>2023</v>
      </c>
      <c r="J33" s="393">
        <v>2024</v>
      </c>
      <c r="K33" s="394">
        <v>2025</v>
      </c>
    </row>
    <row r="34" spans="1:11" ht="24" customHeight="1" thickBot="1">
      <c r="A34" s="395" t="s">
        <v>193</v>
      </c>
      <c r="B34" s="396"/>
      <c r="C34" s="397">
        <v>0</v>
      </c>
      <c r="D34" s="397">
        <f>SUM(D18+D23)</f>
        <v>347022.8333333334</v>
      </c>
      <c r="E34" s="397">
        <f>SUM(E18+E24)</f>
        <v>483041.8333333333</v>
      </c>
      <c r="F34" s="397">
        <f>SUM(F18+F25)</f>
        <v>494027.98333333334</v>
      </c>
      <c r="G34" s="397">
        <f>SUM(G18+G26)</f>
        <v>505040.2908333334</v>
      </c>
      <c r="H34" s="397">
        <f>SUM(H18+H27)</f>
        <v>516080.0637083333</v>
      </c>
      <c r="I34" s="397">
        <f>SUM(I18+I28)</f>
        <v>527148.6752270833</v>
      </c>
      <c r="J34" s="397">
        <f>SUM(J18+J29)</f>
        <v>538247.5673217708</v>
      </c>
      <c r="K34" s="398">
        <f>SUM(K18+K30)</f>
        <v>139245.50861994142</v>
      </c>
    </row>
    <row r="35" spans="1:11" ht="18.6" thickBot="1" thickTop="1">
      <c r="A35" s="399" t="s">
        <v>194</v>
      </c>
      <c r="B35" s="400"/>
      <c r="C35" s="401"/>
      <c r="D35" s="402">
        <f>SUM(C34:D34)+2000+G5</f>
        <v>949022.8333333334</v>
      </c>
      <c r="E35" s="403"/>
      <c r="F35" s="403">
        <f>SUM(E34:F34)+4000</f>
        <v>981069.8166666667</v>
      </c>
      <c r="G35" s="404"/>
      <c r="H35" s="404">
        <f>SUM(G34:H34)+4000</f>
        <v>1025120.3545416667</v>
      </c>
      <c r="I35" s="405"/>
      <c r="J35" s="405">
        <f>SUM(I34:J34)+4000</f>
        <v>1069396.242548854</v>
      </c>
      <c r="K35" s="406">
        <f>SUM(K34)+4000</f>
        <v>143245.50861994142</v>
      </c>
    </row>
    <row r="36" spans="1:11" ht="15" thickBot="1">
      <c r="A36" s="407" t="s">
        <v>195</v>
      </c>
      <c r="B36" s="407"/>
      <c r="C36" s="407"/>
      <c r="D36" s="407"/>
      <c r="E36" s="407"/>
      <c r="F36" s="407"/>
      <c r="G36" s="407"/>
      <c r="H36" s="387"/>
      <c r="I36" s="387"/>
      <c r="J36" s="387"/>
      <c r="K36" s="387"/>
    </row>
    <row r="37" spans="1:11" ht="15" thickBot="1">
      <c r="A37" s="386" t="s">
        <v>196</v>
      </c>
      <c r="B37" s="387"/>
      <c r="C37" s="387"/>
      <c r="D37" s="387"/>
      <c r="E37" s="387"/>
      <c r="F37" s="387"/>
      <c r="G37" s="387"/>
      <c r="H37" s="387"/>
      <c r="I37" s="408" t="s">
        <v>197</v>
      </c>
      <c r="J37" s="387"/>
      <c r="K37" s="409">
        <f aca="true" t="shared" si="2" ref="K37">SUM(A35:K35)</f>
        <v>4167854.755710462</v>
      </c>
    </row>
  </sheetData>
  <printOptions/>
  <pageMargins left="0.7" right="0.7" top="0.25" bottom="0.25" header="0.3" footer="0.3"/>
  <pageSetup cellComments="asDisplayed" fitToHeight="1" fitToWidth="1" horizontalDpi="600" verticalDpi="600" orientation="landscape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433" t="s">
        <v>126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45" t="s">
        <v>76</v>
      </c>
      <c r="E11" s="445"/>
      <c r="F11" s="446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47" t="s">
        <v>75</v>
      </c>
      <c r="E12" s="447"/>
      <c r="F12" s="448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47" t="s">
        <v>74</v>
      </c>
      <c r="E13" s="447"/>
      <c r="F13" s="448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49" t="s">
        <v>73</v>
      </c>
      <c r="E14" s="447"/>
      <c r="F14" s="448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47" t="s">
        <v>72</v>
      </c>
      <c r="E15" s="447"/>
      <c r="F15" s="448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47" t="s">
        <v>103</v>
      </c>
      <c r="E16" s="447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47" t="s">
        <v>69</v>
      </c>
      <c r="E17" s="447"/>
      <c r="F17" s="448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45" t="s">
        <v>70</v>
      </c>
      <c r="E18" s="445"/>
      <c r="F18" s="446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45" t="s">
        <v>137</v>
      </c>
      <c r="E19" s="445"/>
      <c r="F19" s="446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437" t="s">
        <v>34</v>
      </c>
      <c r="H20" s="437"/>
      <c r="I20" s="43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3" t="s">
        <v>125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463" t="s">
        <v>142</v>
      </c>
      <c r="E39" s="463"/>
      <c r="F39" s="46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53" t="s">
        <v>77</v>
      </c>
      <c r="E40" s="453"/>
      <c r="F40" s="454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53" t="s">
        <v>78</v>
      </c>
      <c r="E41" s="453"/>
      <c r="F41" s="454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57" t="s">
        <v>134</v>
      </c>
      <c r="E43" s="458"/>
      <c r="F43" s="458"/>
      <c r="G43" s="458"/>
      <c r="H43" s="458"/>
      <c r="I43" s="459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60" t="s">
        <v>99</v>
      </c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4" t="s">
        <v>20</v>
      </c>
      <c r="F57" s="44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4" thickBot="1">
      <c r="B58" s="210"/>
      <c r="C58" s="157"/>
      <c r="D58" s="158" t="s">
        <v>50</v>
      </c>
      <c r="E58" s="455"/>
      <c r="F58" s="456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4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4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4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4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4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61" t="s">
        <v>84</v>
      </c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34"/>
      <c r="D69" s="434"/>
      <c r="E69" s="434"/>
      <c r="F69" s="43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53" t="s">
        <v>85</v>
      </c>
      <c r="F71" s="453"/>
      <c r="G71" s="453"/>
      <c r="H71" s="453"/>
      <c r="I71" s="453"/>
      <c r="J71" s="453"/>
      <c r="K71" s="453"/>
      <c r="L71" s="453"/>
      <c r="M71" s="453"/>
      <c r="N71" s="180"/>
      <c r="O71" s="211"/>
    </row>
    <row r="72" spans="2:15" ht="13.5" customHeight="1">
      <c r="B72" s="210"/>
      <c r="C72" s="268" t="s">
        <v>25</v>
      </c>
      <c r="D72" s="269"/>
      <c r="E72" s="438" t="s">
        <v>86</v>
      </c>
      <c r="F72" s="438"/>
      <c r="G72" s="438"/>
      <c r="H72" s="438"/>
      <c r="I72" s="438"/>
      <c r="J72" s="438"/>
      <c r="K72" s="438"/>
      <c r="L72" s="438"/>
      <c r="M72" s="438"/>
      <c r="N72" s="181"/>
      <c r="O72" s="211"/>
    </row>
    <row r="73" spans="2:15" ht="14.4">
      <c r="B73" s="210"/>
      <c r="C73" s="268" t="s">
        <v>53</v>
      </c>
      <c r="D73" s="269"/>
      <c r="E73" s="438" t="s">
        <v>87</v>
      </c>
      <c r="F73" s="418"/>
      <c r="G73" s="418"/>
      <c r="H73" s="418"/>
      <c r="I73" s="418"/>
      <c r="J73" s="418"/>
      <c r="K73" s="418"/>
      <c r="L73" s="418"/>
      <c r="M73" s="418"/>
      <c r="N73" s="179"/>
      <c r="O73" s="211"/>
    </row>
    <row r="74" spans="2:15" ht="14.4">
      <c r="B74" s="210"/>
      <c r="C74" s="451" t="s">
        <v>55</v>
      </c>
      <c r="D74" s="451"/>
      <c r="E74" s="438" t="s">
        <v>88</v>
      </c>
      <c r="F74" s="418"/>
      <c r="G74" s="418"/>
      <c r="H74" s="418"/>
      <c r="I74" s="418"/>
      <c r="J74" s="418"/>
      <c r="K74" s="418"/>
      <c r="L74" s="418"/>
      <c r="M74" s="418"/>
      <c r="N74" s="179"/>
      <c r="O74" s="211"/>
    </row>
    <row r="75" spans="2:15" ht="14.25" customHeight="1">
      <c r="B75" s="210"/>
      <c r="C75" s="450" t="s">
        <v>56</v>
      </c>
      <c r="D75" s="450"/>
      <c r="E75" s="438" t="s">
        <v>89</v>
      </c>
      <c r="F75" s="438"/>
      <c r="G75" s="438"/>
      <c r="H75" s="438"/>
      <c r="I75" s="438"/>
      <c r="J75" s="438"/>
      <c r="K75" s="438"/>
      <c r="L75" s="438"/>
      <c r="M75" s="438"/>
      <c r="N75" s="181"/>
      <c r="O75" s="211"/>
    </row>
    <row r="76" spans="2:15" ht="14.4">
      <c r="B76" s="210"/>
      <c r="C76" s="451" t="s">
        <v>57</v>
      </c>
      <c r="D76" s="451"/>
      <c r="E76" s="438"/>
      <c r="F76" s="418"/>
      <c r="G76" s="418"/>
      <c r="H76" s="418"/>
      <c r="I76" s="418"/>
      <c r="J76" s="418"/>
      <c r="K76" s="418"/>
      <c r="L76" s="418"/>
      <c r="M76" s="418"/>
      <c r="N76" s="179"/>
      <c r="O76" s="211"/>
    </row>
    <row r="77" spans="2:15" ht="15" customHeight="1">
      <c r="B77" s="210"/>
      <c r="C77" s="452" t="s">
        <v>26</v>
      </c>
      <c r="D77" s="452"/>
      <c r="E77" s="438" t="s">
        <v>90</v>
      </c>
      <c r="F77" s="418"/>
      <c r="G77" s="418"/>
      <c r="H77" s="418"/>
      <c r="I77" s="418"/>
      <c r="J77" s="418"/>
      <c r="K77" s="418"/>
      <c r="L77" s="418"/>
      <c r="M77" s="418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" thickBot="1">
      <c r="B81" s="210"/>
      <c r="C81" s="424" t="s">
        <v>40</v>
      </c>
      <c r="D81" s="424"/>
      <c r="E81" s="425" t="s">
        <v>22</v>
      </c>
      <c r="F81" s="425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4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4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4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35" t="s">
        <v>55</v>
      </c>
      <c r="D85" s="436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39" t="s">
        <v>56</v>
      </c>
      <c r="D86" s="44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35" t="s">
        <v>57</v>
      </c>
      <c r="D87" s="436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4" thickBot="1">
      <c r="B88" s="210"/>
      <c r="C88" s="441" t="s">
        <v>26</v>
      </c>
      <c r="D88" s="442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" thickBot="1">
      <c r="B92" s="210"/>
      <c r="C92" s="424" t="s">
        <v>40</v>
      </c>
      <c r="D92" s="424"/>
      <c r="E92" s="425" t="s">
        <v>22</v>
      </c>
      <c r="F92" s="425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4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4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4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435" t="s">
        <v>55</v>
      </c>
      <c r="D96" s="436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439" t="s">
        <v>56</v>
      </c>
      <c r="D97" s="44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435" t="s">
        <v>57</v>
      </c>
      <c r="D98" s="436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441" t="s">
        <v>26</v>
      </c>
      <c r="D99" s="44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" thickBot="1">
      <c r="B103" s="210"/>
      <c r="C103" s="424" t="s">
        <v>40</v>
      </c>
      <c r="D103" s="424"/>
      <c r="E103" s="425" t="s">
        <v>22</v>
      </c>
      <c r="F103" s="425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4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4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4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thickBot="1">
      <c r="B107" s="210"/>
      <c r="C107" s="435" t="s">
        <v>55</v>
      </c>
      <c r="D107" s="436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thickBot="1">
      <c r="B108" s="210"/>
      <c r="C108" s="439" t="s">
        <v>56</v>
      </c>
      <c r="D108" s="44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thickBot="1">
      <c r="B109" s="210"/>
      <c r="C109" s="435" t="s">
        <v>57</v>
      </c>
      <c r="D109" s="436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thickBot="1">
      <c r="B110" s="210"/>
      <c r="C110" s="441" t="s">
        <v>26</v>
      </c>
      <c r="D110" s="44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" thickBot="1">
      <c r="B114" s="210"/>
      <c r="C114" s="424" t="s">
        <v>40</v>
      </c>
      <c r="D114" s="424"/>
      <c r="E114" s="425" t="s">
        <v>22</v>
      </c>
      <c r="F114" s="425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4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4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4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thickBot="1">
      <c r="B118" s="210"/>
      <c r="C118" s="426" t="s">
        <v>55</v>
      </c>
      <c r="D118" s="42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thickBot="1">
      <c r="B119" s="210"/>
      <c r="C119" s="428" t="s">
        <v>56</v>
      </c>
      <c r="D119" s="42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thickBot="1">
      <c r="B120" s="210"/>
      <c r="C120" s="426" t="s">
        <v>57</v>
      </c>
      <c r="D120" s="42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thickBot="1">
      <c r="B121" s="210"/>
      <c r="C121" s="430" t="s">
        <v>26</v>
      </c>
      <c r="D121" s="43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8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" thickBot="1">
      <c r="B125" s="210"/>
      <c r="C125" s="424" t="s">
        <v>40</v>
      </c>
      <c r="D125" s="424"/>
      <c r="E125" s="425" t="s">
        <v>22</v>
      </c>
      <c r="F125" s="425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4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4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4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thickBot="1">
      <c r="B129" s="210"/>
      <c r="C129" s="426" t="s">
        <v>55</v>
      </c>
      <c r="D129" s="42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thickBot="1">
      <c r="B130" s="210"/>
      <c r="C130" s="428" t="s">
        <v>56</v>
      </c>
      <c r="D130" s="42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thickBot="1">
      <c r="B131" s="210"/>
      <c r="C131" s="426" t="s">
        <v>57</v>
      </c>
      <c r="D131" s="42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thickBot="1">
      <c r="B132" s="210"/>
      <c r="C132" s="430" t="s">
        <v>26</v>
      </c>
      <c r="D132" s="43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8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" thickBot="1">
      <c r="B136" s="210"/>
      <c r="C136" s="424" t="s">
        <v>40</v>
      </c>
      <c r="D136" s="424"/>
      <c r="E136" s="425" t="s">
        <v>22</v>
      </c>
      <c r="F136" s="425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4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4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4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thickBot="1">
      <c r="B140" s="210"/>
      <c r="C140" s="426" t="s">
        <v>55</v>
      </c>
      <c r="D140" s="42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thickBot="1">
      <c r="B141" s="210"/>
      <c r="C141" s="428" t="s">
        <v>56</v>
      </c>
      <c r="D141" s="42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thickBot="1">
      <c r="B142" s="210"/>
      <c r="C142" s="426" t="s">
        <v>57</v>
      </c>
      <c r="D142" s="42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thickBot="1">
      <c r="B143" s="210"/>
      <c r="C143" s="430" t="s">
        <v>26</v>
      </c>
      <c r="D143" s="43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418" t="s">
        <v>100</v>
      </c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179"/>
      <c r="O148" s="224"/>
      <c r="P148" s="225"/>
      <c r="Q148" s="225"/>
    </row>
    <row r="149" spans="2:17" ht="15" customHeight="1">
      <c r="B149" s="210"/>
      <c r="C149" s="418" t="s">
        <v>132</v>
      </c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3.8">
      <c r="B155" s="210"/>
      <c r="C155" s="432" t="s">
        <v>18</v>
      </c>
      <c r="D155" s="432" t="s">
        <v>39</v>
      </c>
      <c r="E155" s="422" t="s">
        <v>23</v>
      </c>
      <c r="F155" s="422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2" thickBot="1">
      <c r="B156" s="210"/>
      <c r="C156" s="425"/>
      <c r="D156" s="425"/>
      <c r="E156" s="423"/>
      <c r="F156" s="423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4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4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12" t="s">
        <v>147</v>
      </c>
      <c r="G171" s="413"/>
      <c r="H171" s="413"/>
      <c r="I171" s="413"/>
      <c r="J171" s="413"/>
      <c r="K171" s="413"/>
      <c r="L171" s="413"/>
      <c r="M171" s="413"/>
      <c r="N171" s="414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18" t="s">
        <v>152</v>
      </c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179"/>
      <c r="O173" s="224"/>
    </row>
    <row r="174" spans="2:15" ht="34.5" customHeight="1" thickBot="1">
      <c r="B174" s="210"/>
      <c r="C174" s="415" t="s">
        <v>139</v>
      </c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N174" s="417"/>
      <c r="O174" s="224"/>
    </row>
    <row r="175" spans="2:15" ht="34.5" customHeight="1" thickBot="1">
      <c r="B175" s="210"/>
      <c r="C175" s="419" t="s">
        <v>123</v>
      </c>
      <c r="D175" s="420"/>
      <c r="E175" s="420"/>
      <c r="F175" s="420"/>
      <c r="G175" s="420"/>
      <c r="H175" s="420"/>
      <c r="I175" s="420"/>
      <c r="J175" s="420"/>
      <c r="K175" s="420"/>
      <c r="L175" s="420"/>
      <c r="M175" s="420"/>
      <c r="N175" s="421"/>
      <c r="O175" s="224"/>
    </row>
    <row r="176" spans="2:15" ht="34.5" customHeight="1" thickBot="1">
      <c r="B176" s="210"/>
      <c r="C176" s="419" t="s">
        <v>123</v>
      </c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1"/>
      <c r="O176" s="224"/>
    </row>
    <row r="177" spans="2:15" ht="34.5" customHeight="1" thickBot="1">
      <c r="B177" s="210"/>
      <c r="C177" s="419" t="s">
        <v>123</v>
      </c>
      <c r="D177" s="420"/>
      <c r="E177" s="420"/>
      <c r="F177" s="420"/>
      <c r="G177" s="420"/>
      <c r="H177" s="420"/>
      <c r="I177" s="420"/>
      <c r="J177" s="420"/>
      <c r="K177" s="420"/>
      <c r="L177" s="420"/>
      <c r="M177" s="420"/>
      <c r="N177" s="421"/>
      <c r="O177" s="224"/>
    </row>
    <row r="178" spans="2:15" ht="34.5" customHeight="1" thickBot="1">
      <c r="B178" s="210"/>
      <c r="C178" s="419" t="s">
        <v>123</v>
      </c>
      <c r="D178" s="420"/>
      <c r="E178" s="420"/>
      <c r="F178" s="420"/>
      <c r="G178" s="420"/>
      <c r="H178" s="420"/>
      <c r="I178" s="420"/>
      <c r="J178" s="420"/>
      <c r="K178" s="420"/>
      <c r="L178" s="420"/>
      <c r="M178" s="420"/>
      <c r="N178" s="421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418" t="s">
        <v>138</v>
      </c>
      <c r="D180" s="418"/>
      <c r="E180" s="418"/>
      <c r="F180" s="418"/>
      <c r="G180" s="418"/>
      <c r="H180" s="418"/>
      <c r="I180" s="418"/>
      <c r="J180" s="418"/>
      <c r="K180" s="418"/>
      <c r="L180" s="418"/>
      <c r="M180" s="418"/>
      <c r="N180" s="116"/>
      <c r="O180" s="211"/>
    </row>
    <row r="181" spans="2:15" ht="14.4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8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507" t="s">
        <v>49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64" t="s">
        <v>31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1"/>
    </row>
    <row r="4" spans="1:20" ht="3" customHeight="1" thickBot="1" thickTop="1">
      <c r="A4" s="518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1"/>
    </row>
    <row r="5" spans="1:19" ht="13.8">
      <c r="A5" s="528" t="s">
        <v>7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7"/>
    </row>
    <row r="6" spans="1:20" ht="13.8">
      <c r="A6" s="524" t="s">
        <v>0</v>
      </c>
      <c r="B6" s="525"/>
      <c r="C6" s="523" t="str">
        <f>IF('2b.  Complex Form Data Entry'!G11="","   ",'2b.  Complex Form Data Entry'!G11)</f>
        <v xml:space="preserve">   </v>
      </c>
      <c r="D6" s="523"/>
      <c r="E6" s="523"/>
      <c r="F6" s="523"/>
      <c r="G6" s="523"/>
      <c r="H6" s="523"/>
      <c r="I6" s="523"/>
      <c r="J6" s="523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529" t="s">
        <v>150</v>
      </c>
      <c r="B7" s="520"/>
      <c r="C7" s="530" t="str">
        <f>IF('2b.  Complex Form Data Entry'!G12="","   ",'2b.  Complex Form Data Entry'!G12)</f>
        <v xml:space="preserve">   </v>
      </c>
      <c r="D7" s="530"/>
      <c r="E7" s="530"/>
      <c r="F7" s="530"/>
      <c r="G7" s="530"/>
      <c r="H7" s="530"/>
      <c r="I7" s="530"/>
      <c r="J7" s="530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521" t="s">
        <v>2</v>
      </c>
      <c r="B8" s="522"/>
      <c r="C8" s="292" t="str">
        <f>IF('2b.  Complex Form Data Entry'!G15="","   ",'2b.  Complex Form Data Entry'!G15)</f>
        <v xml:space="preserve">   </v>
      </c>
      <c r="E8" s="292"/>
      <c r="F8" s="522" t="s">
        <v>8</v>
      </c>
      <c r="G8" s="522"/>
      <c r="H8" s="329" t="str">
        <f>IF('2b.  Complex Form Data Entry'!G15=""," ",'2b.  Complex Form Data Entry'!G16)</f>
        <v xml:space="preserve"> </v>
      </c>
      <c r="I8" s="292"/>
      <c r="J8" s="292"/>
      <c r="L8" s="520" t="s">
        <v>10</v>
      </c>
      <c r="M8" s="520"/>
      <c r="N8" s="520"/>
      <c r="O8" s="520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521" t="s">
        <v>3</v>
      </c>
      <c r="B9" s="522"/>
      <c r="C9" s="295"/>
      <c r="D9" s="292"/>
      <c r="E9" s="292"/>
      <c r="F9" s="522" t="s">
        <v>13</v>
      </c>
      <c r="G9" s="522"/>
      <c r="H9" s="292"/>
      <c r="I9" s="292"/>
      <c r="J9" s="292"/>
      <c r="L9" s="520" t="s">
        <v>9</v>
      </c>
      <c r="M9" s="520"/>
      <c r="N9" s="520"/>
      <c r="O9" s="520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514" t="str">
        <f>IF('2b.  Complex Form Data Entry'!G10=""," ",'2b.  Complex Form Data Entry'!G10)</f>
        <v xml:space="preserve"> </v>
      </c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5"/>
      <c r="T10" s="11"/>
    </row>
    <row r="11" spans="1:20" ht="13.8" thickBot="1">
      <c r="A11" s="332"/>
      <c r="B11" s="333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64" t="s">
        <v>14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509" t="s">
        <v>32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513" t="s">
        <v>143</v>
      </c>
      <c r="B17" s="513"/>
      <c r="C17" s="513"/>
      <c r="D17" s="513"/>
      <c r="E17" s="537" t="str">
        <f>IF('2b.  Complex Form Data Entry'!G39="N","NA",'2b.  Complex Form Data Entry'!G40)</f>
        <v>NA</v>
      </c>
      <c r="F17" s="538"/>
      <c r="G17" s="539"/>
      <c r="H17" s="472" t="s">
        <v>151</v>
      </c>
      <c r="I17" s="473"/>
      <c r="J17" s="473"/>
      <c r="K17" s="473"/>
      <c r="L17" s="473"/>
      <c r="M17" s="473"/>
      <c r="N17" s="310"/>
      <c r="O17" s="537" t="str">
        <f>IF('2b.  Complex Form Data Entry'!G39="N","NA",'2b.  Complex Form Data Entry'!G41)</f>
        <v>NA</v>
      </c>
      <c r="P17" s="538"/>
      <c r="Q17" s="538"/>
      <c r="R17" s="538"/>
      <c r="S17" s="53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509" t="s">
        <v>33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6.8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4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8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8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8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8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8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8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4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8">
      <c r="A35" s="478" t="str">
        <f>IF('2b.  Complex Form Data Entry'!E80="","   ",'2b.  Complex Form Data Entry'!E80)</f>
        <v xml:space="preserve">   </v>
      </c>
      <c r="B35" s="479"/>
      <c r="C35" s="480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68" t="s">
        <v>55</v>
      </c>
      <c r="C39" s="469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70" t="s">
        <v>56</v>
      </c>
      <c r="C40" s="471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68" t="s">
        <v>57</v>
      </c>
      <c r="C41" s="469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84" t="s">
        <v>26</v>
      </c>
      <c r="C42" s="485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8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8">
      <c r="A45" s="481" t="str">
        <f>IF('2b.  Complex Form Data Entry'!E91="","   ",'2b.  Complex Form Data Entry'!E91)</f>
        <v xml:space="preserve">   </v>
      </c>
      <c r="B45" s="482"/>
      <c r="C45" s="483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68" t="s">
        <v>55</v>
      </c>
      <c r="C49" s="469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70" t="s">
        <v>56</v>
      </c>
      <c r="C50" s="471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68" t="s">
        <v>57</v>
      </c>
      <c r="C51" s="469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84" t="s">
        <v>26</v>
      </c>
      <c r="C52" s="485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8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8">
      <c r="A55" s="481" t="str">
        <f>IF('2b.  Complex Form Data Entry'!E102="","   ",'2b.  Complex Form Data Entry'!E102)</f>
        <v xml:space="preserve">   </v>
      </c>
      <c r="B55" s="482"/>
      <c r="C55" s="483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68" t="s">
        <v>55</v>
      </c>
      <c r="C59" s="469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70" t="s">
        <v>56</v>
      </c>
      <c r="C60" s="471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68" t="s">
        <v>57</v>
      </c>
      <c r="C61" s="469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84" t="s">
        <v>26</v>
      </c>
      <c r="C62" s="485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8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8">
      <c r="A65" s="481" t="str">
        <f>IF('2b.  Complex Form Data Entry'!E113="","   ",'2b.  Complex Form Data Entry'!E113)</f>
        <v xml:space="preserve">   </v>
      </c>
      <c r="B65" s="482"/>
      <c r="C65" s="483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68" t="s">
        <v>55</v>
      </c>
      <c r="C69" s="469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70" t="s">
        <v>56</v>
      </c>
      <c r="C70" s="471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68" t="s">
        <v>57</v>
      </c>
      <c r="C71" s="469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84" t="s">
        <v>26</v>
      </c>
      <c r="C72" s="485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8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8">
      <c r="A75" s="481" t="str">
        <f>IF('2b.  Complex Form Data Entry'!E124="","   ",'2b.  Complex Form Data Entry'!E124)</f>
        <v xml:space="preserve">   </v>
      </c>
      <c r="B75" s="482"/>
      <c r="C75" s="483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8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8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8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8">
      <c r="A79" s="19"/>
      <c r="B79" s="468" t="s">
        <v>55</v>
      </c>
      <c r="C79" s="469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8">
      <c r="A80" s="19"/>
      <c r="B80" s="470" t="s">
        <v>56</v>
      </c>
      <c r="C80" s="471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8">
      <c r="A81" s="19"/>
      <c r="B81" s="468" t="s">
        <v>57</v>
      </c>
      <c r="C81" s="469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8">
      <c r="A82" s="19"/>
      <c r="B82" s="484" t="s">
        <v>26</v>
      </c>
      <c r="C82" s="485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8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8">
      <c r="A85" s="481" t="str">
        <f>IF('2b.  Complex Form Data Entry'!E135="","   ",'2b.  Complex Form Data Entry'!E135)</f>
        <v xml:space="preserve">   </v>
      </c>
      <c r="B85" s="482"/>
      <c r="C85" s="483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8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8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8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8">
      <c r="A89" s="19"/>
      <c r="B89" s="468" t="s">
        <v>55</v>
      </c>
      <c r="C89" s="469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8">
      <c r="A90" s="19"/>
      <c r="B90" s="470" t="s">
        <v>56</v>
      </c>
      <c r="C90" s="471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8">
      <c r="A91" s="19"/>
      <c r="B91" s="468" t="s">
        <v>57</v>
      </c>
      <c r="C91" s="469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8">
      <c r="A92" s="19"/>
      <c r="B92" s="484" t="s">
        <v>26</v>
      </c>
      <c r="C92" s="485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7.4">
      <c r="A97" s="507" t="s">
        <v>133</v>
      </c>
      <c r="B97" s="507"/>
      <c r="C97" s="507"/>
      <c r="D97" s="507"/>
      <c r="E97" s="507"/>
      <c r="F97" s="507"/>
      <c r="G97" s="507"/>
      <c r="H97" s="507"/>
      <c r="I97" s="507"/>
      <c r="J97" s="507"/>
      <c r="K97" s="507"/>
      <c r="L97" s="507"/>
      <c r="M97" s="507"/>
      <c r="N97" s="507"/>
      <c r="O97" s="507"/>
      <c r="P97" s="507"/>
      <c r="Q97" s="507"/>
      <c r="R97" s="507"/>
      <c r="S97" s="50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64" t="s">
        <v>31</v>
      </c>
      <c r="B99" s="464"/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1"/>
    </row>
    <row r="100" spans="1:20" ht="3" customHeight="1" thickBot="1" thickTop="1">
      <c r="A100" s="518"/>
      <c r="B100" s="519"/>
      <c r="C100" s="519"/>
      <c r="D100" s="519"/>
      <c r="E100" s="519"/>
      <c r="F100" s="519"/>
      <c r="G100" s="519"/>
      <c r="H100" s="519"/>
      <c r="I100" s="519"/>
      <c r="J100" s="519"/>
      <c r="K100" s="519"/>
      <c r="L100" s="519"/>
      <c r="M100" s="519"/>
      <c r="N100" s="519"/>
      <c r="O100" s="519"/>
      <c r="P100" s="519"/>
      <c r="Q100" s="519"/>
      <c r="R100" s="519"/>
      <c r="S100" s="519"/>
      <c r="T100" s="1"/>
    </row>
    <row r="101" spans="1:19" ht="13.8">
      <c r="A101" s="528" t="s">
        <v>7</v>
      </c>
      <c r="B101" s="526"/>
      <c r="C101" s="526"/>
      <c r="D101" s="526"/>
      <c r="E101" s="526"/>
      <c r="F101" s="526"/>
      <c r="G101" s="526"/>
      <c r="H101" s="526"/>
      <c r="I101" s="526"/>
      <c r="J101" s="526"/>
      <c r="K101" s="526"/>
      <c r="L101" s="526"/>
      <c r="M101" s="526"/>
      <c r="N101" s="526"/>
      <c r="O101" s="526"/>
      <c r="P101" s="526"/>
      <c r="Q101" s="526"/>
      <c r="R101" s="526"/>
      <c r="S101" s="527"/>
    </row>
    <row r="102" spans="1:20" ht="13.8">
      <c r="A102" s="524" t="s">
        <v>0</v>
      </c>
      <c r="B102" s="525"/>
      <c r="C102" s="523" t="str">
        <f>IF('2b.  Complex Form Data Entry'!G11="","   ",'2b.  Complex Form Data Entry'!G11)</f>
        <v xml:space="preserve">   </v>
      </c>
      <c r="D102" s="523"/>
      <c r="E102" s="523"/>
      <c r="F102" s="523"/>
      <c r="G102" s="523"/>
      <c r="H102" s="523"/>
      <c r="I102" s="523"/>
      <c r="J102" s="523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529" t="s">
        <v>150</v>
      </c>
      <c r="B103" s="520"/>
      <c r="C103" s="530" t="str">
        <f>IF('2b.  Complex Form Data Entry'!G12="","   ",'2b.  Complex Form Data Entry'!G12)</f>
        <v xml:space="preserve">   </v>
      </c>
      <c r="D103" s="530"/>
      <c r="E103" s="530"/>
      <c r="F103" s="530"/>
      <c r="G103" s="530"/>
      <c r="H103" s="530"/>
      <c r="I103" s="530"/>
      <c r="J103" s="530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521" t="s">
        <v>2</v>
      </c>
      <c r="B104" s="522"/>
      <c r="C104" s="298" t="str">
        <f>IF('2b.  Complex Form Data Entry'!G15="","   ",'2b.  Complex Form Data Entry'!G15)</f>
        <v xml:space="preserve">   </v>
      </c>
      <c r="E104" s="298"/>
      <c r="F104" s="522" t="s">
        <v>8</v>
      </c>
      <c r="G104" s="522"/>
      <c r="H104" s="329" t="str">
        <f>IF('2b.  Complex Form Data Entry'!G15=""," ",'2b.  Complex Form Data Entry'!G16)</f>
        <v xml:space="preserve"> </v>
      </c>
      <c r="I104" s="298"/>
      <c r="J104" s="298"/>
      <c r="L104" s="520" t="s">
        <v>10</v>
      </c>
      <c r="M104" s="520"/>
      <c r="N104" s="520"/>
      <c r="O104" s="520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521" t="s">
        <v>3</v>
      </c>
      <c r="B105" s="522"/>
      <c r="C105" s="300"/>
      <c r="D105" s="298"/>
      <c r="E105" s="298"/>
      <c r="F105" s="522" t="s">
        <v>13</v>
      </c>
      <c r="G105" s="522"/>
      <c r="H105" s="298"/>
      <c r="I105" s="298"/>
      <c r="J105" s="298"/>
      <c r="L105" s="520" t="s">
        <v>9</v>
      </c>
      <c r="M105" s="520"/>
      <c r="N105" s="520"/>
      <c r="O105" s="520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514" t="str">
        <f>IF('2b.  Complex Form Data Entry'!G10=""," ",'2b.  Complex Form Data Entry'!G10)</f>
        <v xml:space="preserve"> </v>
      </c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5"/>
      <c r="T106" s="11"/>
    </row>
    <row r="107" spans="1:20" ht="13.8" thickBot="1">
      <c r="A107" s="332"/>
      <c r="B107" s="333"/>
      <c r="C107" s="516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7"/>
      <c r="T107" s="11"/>
    </row>
    <row r="108" spans="1:20" ht="18.75" customHeight="1" thickBot="1" thickTop="1">
      <c r="A108" s="508" t="s">
        <v>15</v>
      </c>
      <c r="B108" s="508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6.8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531" t="s">
        <v>18</v>
      </c>
      <c r="B112" s="532"/>
      <c r="C112" s="533"/>
      <c r="D112" s="493" t="s">
        <v>19</v>
      </c>
      <c r="E112" s="493" t="s">
        <v>5</v>
      </c>
      <c r="F112" s="486" t="s">
        <v>104</v>
      </c>
      <c r="G112" s="493" t="s">
        <v>11</v>
      </c>
      <c r="H112" s="504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88" t="str">
        <f>CONCATENATE(L34," Appropriation Change")</f>
        <v>2015 / 2016 Appropriation Change</v>
      </c>
      <c r="O112" s="303"/>
      <c r="P112" s="303"/>
      <c r="Q112" s="303"/>
      <c r="R112" s="497" t="s">
        <v>136</v>
      </c>
      <c r="S112" s="498"/>
      <c r="T112" s="42"/>
    </row>
    <row r="113" spans="1:20" ht="37.5" customHeight="1" thickBot="1">
      <c r="A113" s="534"/>
      <c r="B113" s="535"/>
      <c r="C113" s="536"/>
      <c r="D113" s="494"/>
      <c r="E113" s="494"/>
      <c r="F113" s="487"/>
      <c r="G113" s="494"/>
      <c r="H113" s="505"/>
      <c r="I113" s="316"/>
      <c r="J113" s="191" t="s">
        <v>24</v>
      </c>
      <c r="K113" s="287" t="str">
        <f>'2b.  Complex Form Data Entry'!H156</f>
        <v>Allocation Change</v>
      </c>
      <c r="L113" s="489"/>
      <c r="O113" s="303"/>
      <c r="P113" s="303"/>
      <c r="Q113" s="303"/>
      <c r="R113" s="499"/>
      <c r="S113" s="500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541">
        <f>'2b.  Complex Form Data Entry'!J157</f>
        <v>0</v>
      </c>
      <c r="S114" s="542"/>
      <c r="T114" s="42"/>
    </row>
    <row r="115" spans="1:20" ht="13.8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541">
        <f>'2b.  Complex Form Data Entry'!J158</f>
        <v>0</v>
      </c>
      <c r="S115" s="542"/>
      <c r="T115" s="42"/>
    </row>
    <row r="116" spans="1:20" ht="13.8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541">
        <f>'2b.  Complex Form Data Entry'!J159</f>
        <v>0</v>
      </c>
      <c r="S116" s="542"/>
      <c r="T116" s="42"/>
    </row>
    <row r="117" spans="1:20" ht="13.8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541">
        <f>'2b.  Complex Form Data Entry'!J160</f>
        <v>0</v>
      </c>
      <c r="S117" s="542"/>
      <c r="T117" s="42"/>
    </row>
    <row r="118" spans="1:20" ht="13.8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541">
        <f>'2b.  Complex Form Data Entry'!J161</f>
        <v>0</v>
      </c>
      <c r="S118" s="542"/>
      <c r="T118" s="42"/>
    </row>
    <row r="119" spans="1:20" ht="13.8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541">
        <f>'2b.  Complex Form Data Entry'!J162</f>
        <v>0</v>
      </c>
      <c r="S119" s="542"/>
      <c r="T119" s="42"/>
    </row>
    <row r="120" spans="1:20" ht="14.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543">
        <f>SUM(R114:S119)</f>
        <v>0</v>
      </c>
      <c r="S120" s="544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8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506" t="str">
        <f>IF('2b.  Complex Form Data Entry'!G39="Y","See note 5 below.",'2b.  Complex Form Data Entry'!D43)</f>
        <v>An NPV analysis was not performed because …</v>
      </c>
      <c r="C123" s="506"/>
      <c r="D123" s="506"/>
      <c r="E123" s="506"/>
      <c r="F123" s="506"/>
      <c r="G123" s="506"/>
      <c r="H123" s="506"/>
      <c r="I123" s="506"/>
      <c r="J123" s="506"/>
      <c r="K123" s="506"/>
      <c r="L123" s="506"/>
      <c r="M123" s="506"/>
      <c r="N123" s="506"/>
      <c r="O123" s="506"/>
      <c r="P123" s="506"/>
      <c r="Q123" s="506"/>
      <c r="R123" s="506"/>
      <c r="S123" s="506"/>
      <c r="T123" s="5"/>
    </row>
    <row r="124" spans="1:20" ht="13.8">
      <c r="A124" s="68" t="s">
        <v>112</v>
      </c>
      <c r="B124" s="501" t="s">
        <v>148</v>
      </c>
      <c r="C124" s="501"/>
      <c r="D124" s="501"/>
      <c r="E124" s="501"/>
      <c r="F124" s="501"/>
      <c r="G124" s="501"/>
      <c r="H124" s="501"/>
      <c r="I124" s="501"/>
      <c r="J124" s="501"/>
      <c r="K124" s="501"/>
      <c r="L124" s="501"/>
      <c r="M124" s="501"/>
      <c r="N124" s="501"/>
      <c r="O124" s="501"/>
      <c r="P124" s="501"/>
      <c r="Q124" s="501"/>
      <c r="R124" s="501"/>
      <c r="S124" s="501"/>
      <c r="T124" s="5"/>
    </row>
    <row r="125" spans="1:20" ht="14.25" customHeight="1">
      <c r="A125" s="69" t="s">
        <v>52</v>
      </c>
      <c r="B125" s="540" t="s">
        <v>116</v>
      </c>
      <c r="C125" s="540"/>
      <c r="D125" s="540"/>
      <c r="E125" s="540"/>
      <c r="F125" s="540"/>
      <c r="G125" s="540"/>
      <c r="H125" s="540"/>
      <c r="I125" s="540"/>
      <c r="J125" s="540"/>
      <c r="K125" s="540"/>
      <c r="L125" s="540"/>
      <c r="M125" s="540"/>
      <c r="N125" s="540"/>
      <c r="O125" s="540"/>
      <c r="P125" s="540"/>
      <c r="Q125" s="540"/>
      <c r="R125" s="540"/>
      <c r="S125" s="540"/>
      <c r="T125" s="5"/>
    </row>
    <row r="126" spans="1:20" ht="16.5" customHeight="1">
      <c r="A126" s="69" t="s">
        <v>113</v>
      </c>
      <c r="B126" s="503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503"/>
      <c r="D126" s="503"/>
      <c r="E126" s="503"/>
      <c r="F126" s="503"/>
      <c r="G126" s="503"/>
      <c r="H126" s="503"/>
      <c r="I126" s="503"/>
      <c r="J126" s="503"/>
      <c r="K126" s="503"/>
      <c r="L126" s="503"/>
      <c r="M126" s="503"/>
      <c r="N126" s="503"/>
      <c r="O126" s="503"/>
      <c r="P126" s="503"/>
      <c r="Q126" s="503"/>
      <c r="R126" s="503"/>
      <c r="S126" s="503"/>
      <c r="T126" s="5"/>
    </row>
    <row r="127" spans="1:20" ht="14.25" customHeight="1">
      <c r="A127" s="67" t="s">
        <v>114</v>
      </c>
      <c r="B127" s="492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92"/>
      <c r="D127" s="492"/>
      <c r="E127" s="492"/>
      <c r="F127" s="492"/>
      <c r="G127" s="492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5"/>
    </row>
    <row r="128" spans="1:20" ht="16.5" customHeight="1">
      <c r="A128" s="67" t="s">
        <v>118</v>
      </c>
      <c r="B128" s="491" t="s">
        <v>111</v>
      </c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5"/>
    </row>
    <row r="129" spans="1:19" ht="14.25" customHeight="1">
      <c r="A129" s="67"/>
      <c r="B129" s="490" t="str">
        <f>'2b.  Complex Form Data Entry'!C174</f>
        <v>-</v>
      </c>
      <c r="C129" s="490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490"/>
      <c r="R129" s="490"/>
      <c r="S129" s="490"/>
    </row>
    <row r="130" spans="1:19" ht="13.8">
      <c r="A130" s="67"/>
      <c r="B130" s="490" t="str">
        <f>'2b.  Complex Form Data Entry'!C175</f>
        <v xml:space="preserve">- </v>
      </c>
      <c r="C130" s="490"/>
      <c r="D130" s="490"/>
      <c r="E130" s="490"/>
      <c r="F130" s="490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490"/>
      <c r="R130" s="490"/>
      <c r="S130" s="490"/>
    </row>
    <row r="131" spans="1:19" ht="12.75" customHeight="1">
      <c r="A131" s="67"/>
      <c r="B131" s="490" t="str">
        <f>'2b.  Complex Form Data Entry'!C176</f>
        <v xml:space="preserve">- </v>
      </c>
      <c r="C131" s="490"/>
      <c r="D131" s="490"/>
      <c r="E131" s="490"/>
      <c r="F131" s="490"/>
      <c r="G131" s="490"/>
      <c r="H131" s="490"/>
      <c r="I131" s="490"/>
      <c r="J131" s="490"/>
      <c r="K131" s="490"/>
      <c r="L131" s="490"/>
      <c r="M131" s="490"/>
      <c r="N131" s="490"/>
      <c r="O131" s="490"/>
      <c r="P131" s="490"/>
      <c r="Q131" s="490"/>
      <c r="R131" s="490"/>
      <c r="S131" s="490"/>
    </row>
    <row r="132" spans="1:19" ht="15" customHeight="1">
      <c r="A132" s="67"/>
      <c r="B132" s="490" t="str">
        <f>'2b.  Complex Form Data Entry'!C177</f>
        <v xml:space="preserve">- </v>
      </c>
      <c r="C132" s="490"/>
      <c r="D132" s="490"/>
      <c r="E132" s="490"/>
      <c r="F132" s="490"/>
      <c r="G132" s="490"/>
      <c r="H132" s="490"/>
      <c r="I132" s="490"/>
      <c r="J132" s="490"/>
      <c r="K132" s="490"/>
      <c r="L132" s="490"/>
      <c r="M132" s="490"/>
      <c r="N132" s="490"/>
      <c r="O132" s="490"/>
      <c r="P132" s="490"/>
      <c r="Q132" s="490"/>
      <c r="R132" s="490"/>
      <c r="S132" s="490"/>
    </row>
    <row r="133" spans="1:20" ht="13.8">
      <c r="A133" s="67"/>
      <c r="B133" s="490" t="str">
        <f>'2b.  Complex Form Data Entry'!C178</f>
        <v xml:space="preserve">- </v>
      </c>
      <c r="C133" s="490"/>
      <c r="D133" s="490"/>
      <c r="E133" s="490"/>
      <c r="F133" s="490"/>
      <c r="G133" s="490"/>
      <c r="H133" s="490"/>
      <c r="I133" s="490"/>
      <c r="J133" s="490"/>
      <c r="K133" s="490"/>
      <c r="L133" s="490"/>
      <c r="M133" s="490"/>
      <c r="N133" s="490"/>
      <c r="O133" s="490"/>
      <c r="P133" s="490"/>
      <c r="Q133" s="490"/>
      <c r="R133" s="490"/>
      <c r="S133" s="490"/>
      <c r="T133" s="5"/>
    </row>
    <row r="134" spans="1:19" ht="13.8">
      <c r="A134" s="67"/>
      <c r="B134" s="490"/>
      <c r="C134" s="490"/>
      <c r="D134" s="490"/>
      <c r="E134" s="490"/>
      <c r="F134" s="490"/>
      <c r="G134" s="490"/>
      <c r="H134" s="490"/>
      <c r="I134" s="490"/>
      <c r="J134" s="490"/>
      <c r="K134" s="490"/>
      <c r="L134" s="490"/>
      <c r="M134" s="490"/>
      <c r="N134" s="490"/>
      <c r="O134" s="490"/>
      <c r="P134" s="490"/>
      <c r="Q134" s="490"/>
      <c r="R134" s="490"/>
      <c r="S134" s="490"/>
    </row>
    <row r="135" spans="1:19" ht="13.8">
      <c r="A135" t="str">
        <f>IF('2b.  Complex Form Data Entry'!C181=""," ","6.")</f>
        <v xml:space="preserve"> </v>
      </c>
      <c r="B135" s="490"/>
      <c r="C135" s="490"/>
      <c r="D135" s="490"/>
      <c r="E135" s="490"/>
      <c r="F135" s="490"/>
      <c r="G135" s="490"/>
      <c r="H135" s="490"/>
      <c r="I135" s="490"/>
      <c r="J135" s="490"/>
      <c r="K135" s="490"/>
      <c r="L135" s="490"/>
      <c r="M135" s="490"/>
      <c r="N135" s="490"/>
      <c r="O135" s="490"/>
      <c r="P135" s="490"/>
      <c r="Q135" s="490"/>
      <c r="R135" s="490"/>
      <c r="S135" s="490"/>
    </row>
    <row r="136" spans="1:19" ht="13.8">
      <c r="A136" s="69"/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490"/>
      <c r="R136" s="490"/>
      <c r="S136" s="490"/>
    </row>
    <row r="137" spans="1:19" ht="13.8">
      <c r="A137" s="69"/>
      <c r="B137" s="490"/>
      <c r="C137" s="490"/>
      <c r="D137" s="490"/>
      <c r="E137" s="490"/>
      <c r="F137" s="490"/>
      <c r="G137" s="490"/>
      <c r="H137" s="490"/>
      <c r="I137" s="490"/>
      <c r="J137" s="490"/>
      <c r="K137" s="490"/>
      <c r="L137" s="490"/>
      <c r="M137" s="490"/>
      <c r="N137" s="490"/>
      <c r="O137" s="490"/>
      <c r="P137" s="490"/>
      <c r="Q137" s="490"/>
      <c r="R137" s="490"/>
      <c r="S137" s="490"/>
    </row>
    <row r="138" spans="1:6" ht="13.8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F3425D4-8A0F-4C76-90FA-354772490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308dc21f-8940-46b7-9ee9-f86b439897b1"/>
    <ds:schemaRef ds:uri="http://purl.org/dc/dcmitype/"/>
    <ds:schemaRef ds:uri="cc811197-5a73-4d86-a206-c117da05ddaa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Kelly, Ayesha</cp:lastModifiedBy>
  <cp:lastPrinted>2017-06-14T17:34:48Z</cp:lastPrinted>
  <dcterms:created xsi:type="dcterms:W3CDTF">1999-06-02T23:29:55Z</dcterms:created>
  <dcterms:modified xsi:type="dcterms:W3CDTF">2017-06-14T17:35:37Z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5adaf254-0c62-4e1f-af86-ab2c0b39ae7b</vt:lpwstr>
  </property>
  <property fmtid="{D5CDD505-2E9C-101B-9397-08002B2CF9AE}" pid="4" name="ContentTypeId">
    <vt:lpwstr>0x010100D03C1FEDB24A304B88B22491CFC09769007BCB61E4A4E32649B1237591E6F177C2</vt:lpwstr>
  </property>
</Properties>
</file>