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7400" windowHeight="5775" activeTab="0"/>
  </bookViews>
  <sheets>
    <sheet name="FP" sheetId="1" r:id="rId1"/>
  </sheets>
  <definedNames>
    <definedName name="_xlnm.Print_Area" localSheetId="0">'FP'!$A$1:$M$54</definedName>
  </definedNames>
  <calcPr calcId="125725"/>
</workbook>
</file>

<file path=xl/comments1.xml><?xml version="1.0" encoding="utf-8"?>
<comments xmlns="http://schemas.openxmlformats.org/spreadsheetml/2006/main">
  <authors>
    <author>maihanh</author>
    <author>wange</author>
    <author>carnevn</author>
  </authors>
  <commentList>
    <comment ref="I11" authorId="0">
      <text>
        <r>
          <rPr>
            <sz val="8"/>
            <rFont val="Tahoma"/>
            <family val="2"/>
          </rPr>
          <t>maihanh: proj 3% interest earnings of proj ending FB</t>
        </r>
      </text>
    </comment>
    <comment ref="D26" authorId="1">
      <text>
        <r>
          <rPr>
            <b/>
            <sz val="9"/>
            <rFont val="Tahoma"/>
            <family val="2"/>
          </rPr>
          <t>wange:</t>
        </r>
        <r>
          <rPr>
            <sz val="9"/>
            <rFont val="Tahoma"/>
            <family val="2"/>
          </rPr>
          <t xml:space="preserve">
adjusted two subsidies for 2010 GO bonds received @24,713.80 each. </t>
        </r>
      </text>
    </comment>
    <comment ref="B35" authorId="2">
      <text>
        <r>
          <rPr>
            <b/>
            <sz val="8"/>
            <rFont val="Tahoma"/>
            <family val="2"/>
          </rPr>
          <t>carnevn:</t>
        </r>
        <r>
          <rPr>
            <sz val="8"/>
            <rFont val="Tahoma"/>
            <family val="2"/>
          </rPr>
          <t xml:space="preserve">
$401,538 in 2012 and $292,739 in 2013</t>
        </r>
      </text>
    </comment>
    <comment ref="C35" authorId="2">
      <text>
        <r>
          <rPr>
            <b/>
            <sz val="8"/>
            <rFont val="Tahoma"/>
            <family val="2"/>
          </rPr>
          <t>carnevn:</t>
        </r>
        <r>
          <rPr>
            <sz val="8"/>
            <rFont val="Tahoma"/>
            <family val="2"/>
          </rPr>
          <t xml:space="preserve">
Remaining reserve for 2013 PERS rates</t>
        </r>
      </text>
    </comment>
  </commentList>
</comments>
</file>

<file path=xl/sharedStrings.xml><?xml version="1.0" encoding="utf-8"?>
<sst xmlns="http://schemas.openxmlformats.org/spreadsheetml/2006/main" count="66" uniqueCount="64">
  <si>
    <t>Out-Year Assumptions:</t>
  </si>
  <si>
    <t>Tenant Charges</t>
  </si>
  <si>
    <t>Other Revenue</t>
  </si>
  <si>
    <t>Expenditures</t>
  </si>
  <si>
    <t>Hyperion</t>
  </si>
  <si>
    <t>Beginning Fund Balance</t>
  </si>
  <si>
    <t xml:space="preserve">Revenues </t>
  </si>
  <si>
    <t>Outside Leases \ Miscellaneous</t>
  </si>
  <si>
    <t>Interest Earnings</t>
  </si>
  <si>
    <t>Bldg. O&amp;M Charges to GF Agencies</t>
  </si>
  <si>
    <t>Bldg. O&amp;M Charges to Non-GF Agencies</t>
  </si>
  <si>
    <t>Architectural-Engineering</t>
  </si>
  <si>
    <t>Hourly Crafts</t>
  </si>
  <si>
    <t>Major Projects \ Strategic Initiatives</t>
  </si>
  <si>
    <t>Print Shop Operations</t>
  </si>
  <si>
    <t>Other Revenues from GF Sources</t>
  </si>
  <si>
    <t>Total Revenues</t>
  </si>
  <si>
    <t>Director's Office</t>
  </si>
  <si>
    <t>Building Services</t>
  </si>
  <si>
    <t>Capital Planning and Development</t>
  </si>
  <si>
    <t>Total Expenditures</t>
  </si>
  <si>
    <t>Other Fund Transactions</t>
  </si>
  <si>
    <t>Total Other Fund Transactions</t>
  </si>
  <si>
    <t>Ending Fund Balance</t>
  </si>
  <si>
    <t>Less: Reserves &amp; Designations</t>
  </si>
  <si>
    <t>Total Reserves &amp; Designations</t>
  </si>
  <si>
    <t>Reserve Shortfall</t>
  </si>
  <si>
    <t>Ending Undesignated Fund Balance</t>
  </si>
  <si>
    <t xml:space="preserve">Financial Plan Notes: </t>
  </si>
  <si>
    <t>(5)  GRF expenditures assumed to be fully reimbursed.</t>
  </si>
  <si>
    <t>Biennial Financial Plan</t>
  </si>
  <si>
    <t>1st Omnibus</t>
  </si>
  <si>
    <t>Fund Name: Construction and Facilities Management Fund</t>
  </si>
  <si>
    <t>Fund Number: 000005511</t>
  </si>
  <si>
    <t>Prepared by:  Hanh Mai</t>
  </si>
  <si>
    <t>2013 Estimated-Adopted Change</t>
  </si>
  <si>
    <t>2014 Estimated-Adopted Change</t>
  </si>
  <si>
    <t>Explanation of Change</t>
  </si>
  <si>
    <r>
      <t>2011      Actual</t>
    </r>
    <r>
      <rPr>
        <b/>
        <vertAlign val="superscript"/>
        <sz val="10"/>
        <rFont val="Times New Roman"/>
        <family val="1"/>
      </rPr>
      <t xml:space="preserve"> (1)</t>
    </r>
  </si>
  <si>
    <r>
      <t>2012 Adopted</t>
    </r>
    <r>
      <rPr>
        <b/>
        <vertAlign val="superscript"/>
        <sz val="10"/>
        <rFont val="Times New Roman"/>
        <family val="1"/>
      </rPr>
      <t>(2)</t>
    </r>
  </si>
  <si>
    <r>
      <t>Expenditures</t>
    </r>
    <r>
      <rPr>
        <b/>
        <vertAlign val="superscript"/>
        <sz val="10"/>
        <rFont val="Times New Roman"/>
        <family val="1"/>
      </rPr>
      <t xml:space="preserve"> (4)</t>
    </r>
  </si>
  <si>
    <r>
      <t xml:space="preserve">Green River Flood (GRF) Expenditures </t>
    </r>
    <r>
      <rPr>
        <vertAlign val="superscript"/>
        <sz val="10"/>
        <rFont val="Times New Roman"/>
        <family val="1"/>
      </rPr>
      <t>(5)</t>
    </r>
  </si>
  <si>
    <r>
      <t>Green River Flood (GRF) Reimbursement</t>
    </r>
    <r>
      <rPr>
        <vertAlign val="superscript"/>
        <sz val="10"/>
        <rFont val="Times New Roman"/>
        <family val="1"/>
      </rPr>
      <t xml:space="preserve"> (5)</t>
    </r>
  </si>
  <si>
    <t xml:space="preserve">(1)  Fund balance, rev, &amp; exp balanced to preliminary CAFR. </t>
  </si>
  <si>
    <t>(2)  2013 Adopted Hyperion</t>
  </si>
  <si>
    <t>(4) Supplemental appropriations are shown in the related expenditure totals of each business line.</t>
  </si>
  <si>
    <r>
      <t xml:space="preserve">Working Capital Reserve at 3% of Revs </t>
    </r>
    <r>
      <rPr>
        <vertAlign val="superscript"/>
        <sz val="10"/>
        <rFont val="Times New Roman"/>
        <family val="1"/>
      </rPr>
      <t>(6)</t>
    </r>
  </si>
  <si>
    <t>(6)  The fund balance target set at 3% of revenues by Motion 13764.</t>
  </si>
  <si>
    <t>Updated revenues impact reserve target</t>
  </si>
  <si>
    <t>Date Prepared:  May 13, 2013</t>
  </si>
  <si>
    <t>1st omnibus: 2013: Energy Efficient Lighting Project, Wayfinding, Homeless Shelter Expanded Operation, KCCF Duct Fire Repairs</t>
  </si>
  <si>
    <t>1st omnibus: Enegery Efficient Lighting Project, wayfinding, Homeless Shelter Expanded Operation, KCCF Duct Fire Repairs</t>
  </si>
  <si>
    <r>
      <t>2012 Actual</t>
    </r>
    <r>
      <rPr>
        <b/>
        <vertAlign val="superscript"/>
        <sz val="10"/>
        <rFont val="Times New Roman"/>
        <family val="1"/>
      </rPr>
      <t>1</t>
    </r>
  </si>
  <si>
    <r>
      <t>2013 Adopted</t>
    </r>
    <r>
      <rPr>
        <b/>
        <vertAlign val="superscript"/>
        <sz val="10"/>
        <rFont val="Times New Roman"/>
        <family val="1"/>
      </rPr>
      <t>2</t>
    </r>
  </si>
  <si>
    <r>
      <t>2013 Estimated</t>
    </r>
    <r>
      <rPr>
        <b/>
        <vertAlign val="superscript"/>
        <sz val="10"/>
        <rFont val="Times New Roman"/>
        <family val="1"/>
      </rPr>
      <t>3</t>
    </r>
  </si>
  <si>
    <t>2013 Revised</t>
  </si>
  <si>
    <t>2014 Revised</t>
  </si>
  <si>
    <t>Total Biennial Expenditures</t>
  </si>
  <si>
    <t>Estimated Underexpenditures</t>
  </si>
  <si>
    <r>
      <t>2014 Adopted</t>
    </r>
    <r>
      <rPr>
        <b/>
        <vertAlign val="superscript"/>
        <sz val="10"/>
        <rFont val="Times New Roman"/>
        <family val="1"/>
      </rPr>
      <t>2</t>
    </r>
  </si>
  <si>
    <r>
      <t>2014 Estimated</t>
    </r>
    <r>
      <rPr>
        <b/>
        <vertAlign val="superscript"/>
        <sz val="10"/>
        <rFont val="Times New Roman"/>
        <family val="1"/>
      </rPr>
      <t>3</t>
    </r>
  </si>
  <si>
    <t>Reserve for Future PERS Contrib. Increases</t>
  </si>
  <si>
    <t>(3)  Projected revenues and expenditures based on adopted adjusted for Supplementals</t>
  </si>
  <si>
    <t>Lower fund balance than projected; based on 1st actual</t>
  </si>
</sst>
</file>

<file path=xl/styles.xml><?xml version="1.0" encoding="utf-8"?>
<styleSheet xmlns="http://schemas.openxmlformats.org/spreadsheetml/2006/main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;[Red]\(#,##0\)"/>
    <numFmt numFmtId="167" formatCode="&quot;$&quot;* #,##0.00_);[Red]&quot;$&quot;* \(#,##0.00\)"/>
    <numFmt numFmtId="168" formatCode="mm/dd/yy"/>
    <numFmt numFmtId="169" formatCode="00\-000\-000\-0"/>
    <numFmt numFmtId="170" formatCode="[&lt;=9999999]000\-0000;[&gt;9999999]\(000\)\ 000\-0000;General"/>
  </numFmts>
  <fonts count="4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b/>
      <vertAlign val="superscript"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0"/>
      <color indexed="8"/>
      <name val="Arial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  <scheme val="minor"/>
    </font>
    <font>
      <sz val="10"/>
      <name val="Helv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1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4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3" fillId="5" borderId="0" applyNumberFormat="0" applyBorder="0" applyAlignment="0" applyProtection="0"/>
    <xf numFmtId="0" fontId="14" fillId="25" borderId="1" applyNumberFormat="0" applyAlignment="0" applyProtection="0"/>
    <xf numFmtId="0" fontId="30" fillId="10" borderId="1" applyNumberFormat="0" applyAlignment="0" applyProtection="0"/>
    <xf numFmtId="0" fontId="15" fillId="26" borderId="2" applyNumberFormat="0" applyAlignment="0" applyProtection="0"/>
    <xf numFmtId="0" fontId="15" fillId="27" borderId="3" applyNumberFormat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24" fillId="0" borderId="0" applyFont="0" applyFill="0" applyBorder="0" applyProtection="0">
      <alignment/>
    </xf>
    <xf numFmtId="44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4" applyNumberFormat="0" applyFill="0" applyAlignment="0" applyProtection="0"/>
    <xf numFmtId="0" fontId="31" fillId="0" borderId="5" applyNumberFormat="0" applyFill="0" applyAlignment="0" applyProtection="0"/>
    <xf numFmtId="0" fontId="19" fillId="0" borderId="6" applyNumberFormat="0" applyFill="0" applyAlignment="0" applyProtection="0"/>
    <xf numFmtId="0" fontId="32" fillId="0" borderId="6" applyNumberFormat="0" applyFill="0" applyAlignment="0" applyProtection="0"/>
    <xf numFmtId="0" fontId="20" fillId="0" borderId="7" applyNumberFormat="0" applyFill="0" applyAlignment="0" applyProtection="0"/>
    <xf numFmtId="0" fontId="33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12" borderId="1" applyNumberFormat="0" applyAlignment="0" applyProtection="0"/>
    <xf numFmtId="0" fontId="34" fillId="2" borderId="1" applyNumberFormat="0" applyAlignment="0" applyProtection="0"/>
    <xf numFmtId="0" fontId="22" fillId="0" borderId="9" applyNumberFormat="0" applyFill="0" applyAlignment="0" applyProtection="0"/>
    <xf numFmtId="0" fontId="35" fillId="0" borderId="10" applyNumberFormat="0" applyFill="0" applyAlignment="0" applyProtection="0"/>
    <xf numFmtId="0" fontId="23" fillId="12" borderId="0" applyNumberFormat="0" applyBorder="0" applyAlignment="0" applyProtection="0"/>
    <xf numFmtId="0" fontId="3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1" fillId="0" borderId="0">
      <alignment/>
      <protection/>
    </xf>
    <xf numFmtId="0" fontId="24" fillId="0" borderId="0">
      <alignment vertical="top"/>
      <protection/>
    </xf>
    <xf numFmtId="0" fontId="38" fillId="0" borderId="0">
      <alignment/>
      <protection/>
    </xf>
    <xf numFmtId="0" fontId="24" fillId="0" borderId="0">
      <alignment vertical="top"/>
      <protection/>
    </xf>
    <xf numFmtId="0" fontId="24" fillId="6" borderId="11" applyNumberFormat="0" applyFont="0" applyAlignment="0" applyProtection="0"/>
    <xf numFmtId="0" fontId="0" fillId="6" borderId="11" applyNumberFormat="0" applyFont="0" applyAlignment="0" applyProtection="0"/>
    <xf numFmtId="0" fontId="25" fillId="25" borderId="12" applyNumberFormat="0" applyAlignment="0" applyProtection="0"/>
    <xf numFmtId="0" fontId="37" fillId="10" borderId="13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Protection="0">
      <alignment/>
    </xf>
    <xf numFmtId="9" fontId="24" fillId="0" borderId="0" applyFont="0" applyFill="0" applyBorder="0" applyProtection="0">
      <alignment/>
    </xf>
    <xf numFmtId="9" fontId="3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0" applyNumberFormat="0" applyFill="0" applyBorder="0" applyAlignment="0" applyProtection="0"/>
    <xf numFmtId="39" fontId="39" fillId="0" borderId="0" applyFont="0" applyFill="0" applyBorder="0" applyAlignment="0" applyProtection="0"/>
    <xf numFmtId="168" fontId="0" fillId="0" borderId="0">
      <alignment horizontal="center"/>
      <protection locked="0"/>
    </xf>
    <xf numFmtId="169" fontId="0" fillId="0" borderId="0">
      <alignment horizontal="center"/>
      <protection locked="0"/>
    </xf>
    <xf numFmtId="170" fontId="39" fillId="0" borderId="0" applyFont="0" applyFill="0" applyBorder="0" applyAlignment="0" applyProtection="0"/>
    <xf numFmtId="167" fontId="0" fillId="0" borderId="16" applyFont="0" applyFill="0" applyProtection="0">
      <alignment/>
    </xf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17" applyNumberFormat="0" applyAlignment="0" applyProtection="0"/>
    <xf numFmtId="0" fontId="43" fillId="31" borderId="17" applyNumberFormat="0" applyAlignment="0" applyProtection="0"/>
  </cellStyleXfs>
  <cellXfs count="93">
    <xf numFmtId="0" fontId="0" fillId="0" borderId="0" xfId="0"/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left"/>
    </xf>
    <xf numFmtId="38" fontId="3" fillId="0" borderId="0" xfId="0" applyNumberFormat="1" applyFont="1" applyAlignment="1">
      <alignment horizontal="left"/>
    </xf>
    <xf numFmtId="38" fontId="1" fillId="0" borderId="0" xfId="0" applyNumberFormat="1" applyFont="1" applyFill="1" applyAlignment="1">
      <alignment horizontal="left"/>
    </xf>
    <xf numFmtId="38" fontId="1" fillId="32" borderId="0" xfId="18" applyNumberFormat="1" applyFont="1" applyFill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left"/>
    </xf>
    <xf numFmtId="38" fontId="3" fillId="0" borderId="0" xfId="0" applyNumberFormat="1" applyFont="1" applyAlignment="1">
      <alignment horizontal="left"/>
    </xf>
    <xf numFmtId="38" fontId="1" fillId="0" borderId="0" xfId="0" applyNumberFormat="1" applyFont="1" applyFill="1" applyAlignment="1">
      <alignment horizontal="left"/>
    </xf>
    <xf numFmtId="38" fontId="1" fillId="0" borderId="0" xfId="0" applyNumberFormat="1" applyFont="1" applyFill="1"/>
    <xf numFmtId="38" fontId="1" fillId="0" borderId="0" xfId="20" applyNumberFormat="1" applyFont="1" applyBorder="1" applyAlignment="1">
      <alignment horizontal="left"/>
      <protection/>
    </xf>
    <xf numFmtId="164" fontId="1" fillId="0" borderId="0" xfId="20" applyNumberFormat="1" applyFont="1" applyBorder="1" applyAlignment="1">
      <alignment horizontal="center"/>
      <protection/>
    </xf>
    <xf numFmtId="164" fontId="1" fillId="0" borderId="0" xfId="20" applyNumberFormat="1" applyFont="1" applyFill="1" applyBorder="1" applyAlignment="1">
      <alignment horizontal="center"/>
      <protection/>
    </xf>
    <xf numFmtId="0" fontId="1" fillId="0" borderId="0" xfId="0" applyFont="1" applyBorder="1" applyAlignment="1">
      <alignment/>
    </xf>
    <xf numFmtId="38" fontId="1" fillId="0" borderId="0" xfId="0" applyNumberFormat="1" applyFont="1"/>
    <xf numFmtId="38" fontId="1" fillId="0" borderId="0" xfId="20" applyNumberFormat="1" applyFont="1" applyBorder="1" applyAlignment="1">
      <alignment horizontal="left" vertical="top"/>
      <protection/>
    </xf>
    <xf numFmtId="38" fontId="6" fillId="0" borderId="0" xfId="0" applyNumberFormat="1" applyFont="1" applyAlignment="1" quotePrefix="1">
      <alignment horizontal="left"/>
    </xf>
    <xf numFmtId="38" fontId="1" fillId="0" borderId="0" xfId="20" applyNumberFormat="1" applyFont="1" applyBorder="1">
      <alignment/>
      <protection/>
    </xf>
    <xf numFmtId="37" fontId="1" fillId="0" borderId="0" xfId="20" applyFont="1" applyBorder="1" applyAlignment="1">
      <alignment horizontal="left"/>
      <protection/>
    </xf>
    <xf numFmtId="6" fontId="1" fillId="0" borderId="0" xfId="0" applyNumberFormat="1" applyFont="1" applyBorder="1"/>
    <xf numFmtId="38" fontId="1" fillId="0" borderId="0" xfId="0" applyNumberFormat="1" applyFont="1" applyFill="1" applyAlignment="1">
      <alignment horizontal="right"/>
    </xf>
    <xf numFmtId="38" fontId="1" fillId="0" borderId="0" xfId="0" applyNumberFormat="1" applyFont="1" applyFill="1" applyAlignment="1">
      <alignment horizontal="center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/>
    <xf numFmtId="38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 horizontal="center"/>
    </xf>
    <xf numFmtId="38" fontId="4" fillId="0" borderId="0" xfId="0" applyNumberFormat="1" applyFont="1" applyBorder="1" applyAlignment="1" quotePrefix="1">
      <alignment horizontal="center"/>
    </xf>
    <xf numFmtId="37" fontId="4" fillId="0" borderId="18" xfId="20" applyFont="1" applyFill="1" applyBorder="1" applyAlignment="1">
      <alignment horizontal="left" wrapText="1"/>
      <protection/>
    </xf>
    <xf numFmtId="38" fontId="4" fillId="0" borderId="18" xfId="20" applyNumberFormat="1" applyFont="1" applyFill="1" applyBorder="1" applyAlignment="1">
      <alignment horizontal="centerContinuous" wrapText="1"/>
      <protection/>
    </xf>
    <xf numFmtId="38" fontId="4" fillId="0" borderId="18" xfId="20" applyNumberFormat="1" applyFont="1" applyFill="1" applyBorder="1" applyAlignment="1">
      <alignment horizontal="center" wrapText="1"/>
      <protection/>
    </xf>
    <xf numFmtId="37" fontId="4" fillId="0" borderId="19" xfId="20" applyFont="1" applyBorder="1" applyAlignment="1" quotePrefix="1">
      <alignment horizontal="left"/>
      <protection/>
    </xf>
    <xf numFmtId="38" fontId="4" fillId="0" borderId="19" xfId="18" applyNumberFormat="1" applyFont="1" applyBorder="1"/>
    <xf numFmtId="38" fontId="4" fillId="0" borderId="19" xfId="18" applyNumberFormat="1" applyFont="1" applyFill="1" applyBorder="1"/>
    <xf numFmtId="37" fontId="4" fillId="0" borderId="20" xfId="20" applyFont="1" applyBorder="1" applyAlignment="1" quotePrefix="1">
      <alignment horizontal="left"/>
      <protection/>
    </xf>
    <xf numFmtId="38" fontId="1" fillId="0" borderId="21" xfId="18" applyNumberFormat="1" applyFont="1" applyBorder="1"/>
    <xf numFmtId="38" fontId="1" fillId="0" borderId="21" xfId="18" applyNumberFormat="1" applyFont="1" applyFill="1" applyBorder="1"/>
    <xf numFmtId="38" fontId="1" fillId="0" borderId="22" xfId="18" applyNumberFormat="1" applyFont="1" applyFill="1" applyBorder="1"/>
    <xf numFmtId="37" fontId="1" fillId="0" borderId="20" xfId="20" applyFont="1" applyBorder="1" applyAlignment="1">
      <alignment horizontal="left" vertical="top"/>
      <protection/>
    </xf>
    <xf numFmtId="38" fontId="1" fillId="0" borderId="20" xfId="18" applyNumberFormat="1" applyFont="1" applyBorder="1" applyAlignment="1">
      <alignment vertical="top"/>
    </xf>
    <xf numFmtId="38" fontId="1" fillId="0" borderId="20" xfId="18" applyNumberFormat="1" applyFont="1" applyFill="1" applyBorder="1" applyAlignment="1">
      <alignment vertical="top"/>
    </xf>
    <xf numFmtId="38" fontId="1" fillId="0" borderId="23" xfId="18" applyNumberFormat="1" applyFont="1" applyFill="1" applyBorder="1" applyAlignment="1">
      <alignment vertical="top"/>
    </xf>
    <xf numFmtId="37" fontId="1" fillId="0" borderId="20" xfId="20" applyFont="1" applyFill="1" applyBorder="1" applyAlignment="1">
      <alignment horizontal="left" vertical="top"/>
      <protection/>
    </xf>
    <xf numFmtId="37" fontId="4" fillId="0" borderId="24" xfId="20" applyFont="1" applyBorder="1" applyAlignment="1">
      <alignment horizontal="left" vertical="top"/>
      <protection/>
    </xf>
    <xf numFmtId="165" fontId="4" fillId="0" borderId="19" xfId="18" applyNumberFormat="1" applyFont="1" applyFill="1" applyBorder="1" applyAlignment="1">
      <alignment vertical="top"/>
    </xf>
    <xf numFmtId="38" fontId="4" fillId="0" borderId="25" xfId="18" applyNumberFormat="1" applyFont="1" applyBorder="1" applyAlignment="1">
      <alignment vertical="top"/>
    </xf>
    <xf numFmtId="38" fontId="4" fillId="0" borderId="25" xfId="18" applyNumberFormat="1" applyFont="1" applyFill="1" applyBorder="1" applyAlignment="1">
      <alignment vertical="top"/>
    </xf>
    <xf numFmtId="38" fontId="4" fillId="0" borderId="19" xfId="18" applyNumberFormat="1" applyFont="1" applyFill="1" applyBorder="1" applyAlignment="1">
      <alignment vertical="top"/>
    </xf>
    <xf numFmtId="37" fontId="4" fillId="0" borderId="20" xfId="20" applyFont="1" applyBorder="1" applyAlignment="1" quotePrefix="1">
      <alignment horizontal="left" vertical="top"/>
      <protection/>
    </xf>
    <xf numFmtId="38" fontId="1" fillId="0" borderId="21" xfId="18" applyNumberFormat="1" applyFont="1" applyBorder="1" applyAlignment="1">
      <alignment vertical="top"/>
    </xf>
    <xf numFmtId="38" fontId="1" fillId="0" borderId="21" xfId="18" applyNumberFormat="1" applyFont="1" applyFill="1" applyBorder="1" applyAlignment="1">
      <alignment vertical="top"/>
    </xf>
    <xf numFmtId="38" fontId="1" fillId="0" borderId="22" xfId="18" applyNumberFormat="1" applyFont="1" applyFill="1" applyBorder="1" applyAlignment="1">
      <alignment vertical="top"/>
    </xf>
    <xf numFmtId="37" fontId="4" fillId="0" borderId="26" xfId="20" applyFont="1" applyBorder="1" applyAlignment="1">
      <alignment horizontal="left" vertical="top"/>
      <protection/>
    </xf>
    <xf numFmtId="38" fontId="1" fillId="0" borderId="23" xfId="18" applyNumberFormat="1" applyFont="1" applyBorder="1" applyAlignment="1">
      <alignment vertical="top"/>
    </xf>
    <xf numFmtId="38" fontId="1" fillId="0" borderId="0" xfId="18" applyNumberFormat="1" applyFont="1" applyBorder="1" applyAlignment="1">
      <alignment vertical="top"/>
    </xf>
    <xf numFmtId="166" fontId="1" fillId="0" borderId="20" xfId="18" applyNumberFormat="1" applyFont="1" applyFill="1" applyBorder="1" applyAlignment="1" quotePrefix="1">
      <alignment vertical="top"/>
    </xf>
    <xf numFmtId="38" fontId="1" fillId="33" borderId="23" xfId="18" applyNumberFormat="1" applyFont="1" applyFill="1" applyBorder="1" applyAlignment="1">
      <alignment vertical="top"/>
    </xf>
    <xf numFmtId="37" fontId="4" fillId="0" borderId="24" xfId="20" applyFont="1" applyBorder="1" applyAlignment="1" quotePrefix="1">
      <alignment horizontal="left" vertical="top"/>
      <protection/>
    </xf>
    <xf numFmtId="38" fontId="4" fillId="0" borderId="19" xfId="0" applyNumberFormat="1" applyFont="1" applyBorder="1" applyAlignment="1">
      <alignment vertical="top"/>
    </xf>
    <xf numFmtId="38" fontId="4" fillId="0" borderId="27" xfId="18" applyNumberFormat="1" applyFont="1" applyFill="1" applyBorder="1" applyAlignment="1">
      <alignment vertical="top"/>
    </xf>
    <xf numFmtId="38" fontId="4" fillId="0" borderId="19" xfId="0" applyNumberFormat="1" applyFont="1" applyFill="1" applyBorder="1" applyAlignment="1">
      <alignment vertical="top"/>
    </xf>
    <xf numFmtId="37" fontId="4" fillId="0" borderId="20" xfId="20" applyFont="1" applyBorder="1" applyAlignment="1">
      <alignment horizontal="left" vertical="top"/>
      <protection/>
    </xf>
    <xf numFmtId="38" fontId="4" fillId="0" borderId="20" xfId="18" applyNumberFormat="1" applyFont="1" applyBorder="1" applyAlignment="1">
      <alignment vertical="top"/>
    </xf>
    <xf numFmtId="38" fontId="4" fillId="0" borderId="20" xfId="18" applyNumberFormat="1" applyFont="1" applyFill="1" applyBorder="1" applyAlignment="1">
      <alignment vertical="top"/>
    </xf>
    <xf numFmtId="38" fontId="4" fillId="0" borderId="23" xfId="18" applyNumberFormat="1" applyFont="1" applyFill="1" applyBorder="1" applyAlignment="1">
      <alignment vertical="top"/>
    </xf>
    <xf numFmtId="37" fontId="4" fillId="0" borderId="28" xfId="20" applyFont="1" applyBorder="1" applyAlignment="1" quotePrefix="1">
      <alignment horizontal="left" vertical="top"/>
      <protection/>
    </xf>
    <xf numFmtId="38" fontId="4" fillId="0" borderId="18" xfId="0" applyNumberFormat="1" applyFont="1" applyBorder="1" applyAlignment="1">
      <alignment vertical="top"/>
    </xf>
    <xf numFmtId="38" fontId="4" fillId="0" borderId="18" xfId="0" applyNumberFormat="1" applyFont="1" applyFill="1" applyBorder="1" applyAlignment="1">
      <alignment vertical="top"/>
    </xf>
    <xf numFmtId="37" fontId="1" fillId="0" borderId="0" xfId="20" applyFont="1">
      <alignment/>
      <protection/>
    </xf>
    <xf numFmtId="38" fontId="1" fillId="0" borderId="0" xfId="20" applyNumberFormat="1" applyFont="1">
      <alignment/>
      <protection/>
    </xf>
    <xf numFmtId="37" fontId="4" fillId="0" borderId="0" xfId="20" applyFont="1" applyAlignment="1">
      <alignment horizontal="left"/>
      <protection/>
    </xf>
    <xf numFmtId="0" fontId="0" fillId="0" borderId="0" xfId="0" applyFont="1"/>
    <xf numFmtId="38" fontId="1" fillId="0" borderId="23" xfId="18" applyNumberFormat="1" applyFont="1" applyFill="1" applyBorder="1" applyAlignment="1">
      <alignment vertical="top" wrapText="1"/>
    </xf>
    <xf numFmtId="38" fontId="0" fillId="0" borderId="0" xfId="0" applyNumberFormat="1"/>
    <xf numFmtId="37" fontId="4" fillId="0" borderId="21" xfId="20" applyFont="1" applyBorder="1" applyAlignment="1" quotePrefix="1">
      <alignment horizontal="left" vertical="top"/>
      <protection/>
    </xf>
    <xf numFmtId="37" fontId="4" fillId="0" borderId="19" xfId="20" applyFont="1" applyBorder="1" applyAlignment="1">
      <alignment horizontal="left" vertical="top"/>
      <protection/>
    </xf>
    <xf numFmtId="38" fontId="1" fillId="0" borderId="19" xfId="18" applyNumberFormat="1" applyFont="1" applyBorder="1" applyAlignment="1">
      <alignment vertical="top"/>
    </xf>
    <xf numFmtId="38" fontId="4" fillId="0" borderId="19" xfId="18" applyNumberFormat="1" applyFont="1" applyBorder="1" applyAlignment="1">
      <alignment vertical="top"/>
    </xf>
    <xf numFmtId="37" fontId="4" fillId="0" borderId="29" xfId="20" applyFont="1" applyBorder="1" applyAlignment="1">
      <alignment horizontal="left" vertical="top"/>
      <protection/>
    </xf>
    <xf numFmtId="38" fontId="1" fillId="0" borderId="22" xfId="18" applyNumberFormat="1" applyFont="1" applyBorder="1" applyAlignment="1">
      <alignment vertical="top"/>
    </xf>
    <xf numFmtId="38" fontId="4" fillId="0" borderId="30" xfId="18" applyNumberFormat="1" applyFont="1" applyBorder="1" applyAlignment="1">
      <alignment vertical="top"/>
    </xf>
    <xf numFmtId="38" fontId="4" fillId="0" borderId="21" xfId="18" applyNumberFormat="1" applyFont="1" applyFill="1" applyBorder="1" applyAlignment="1">
      <alignment vertical="top"/>
    </xf>
    <xf numFmtId="38" fontId="4" fillId="0" borderId="22" xfId="18" applyNumberFormat="1" applyFont="1" applyFill="1" applyBorder="1" applyAlignment="1">
      <alignment vertical="top"/>
    </xf>
    <xf numFmtId="37" fontId="1" fillId="0" borderId="24" xfId="20" applyFont="1" applyBorder="1" applyAlignment="1">
      <alignment horizontal="left" vertical="top"/>
      <protection/>
    </xf>
    <xf numFmtId="38" fontId="1" fillId="0" borderId="25" xfId="18" applyNumberFormat="1" applyFont="1" applyBorder="1" applyAlignment="1">
      <alignment vertical="top"/>
    </xf>
    <xf numFmtId="38" fontId="4" fillId="0" borderId="27" xfId="18" applyNumberFormat="1" applyFont="1" applyBorder="1" applyAlignment="1">
      <alignment vertical="top"/>
    </xf>
    <xf numFmtId="37" fontId="44" fillId="0" borderId="0" xfId="20" applyFont="1" applyBorder="1" applyAlignment="1">
      <alignment horizontal="center" wrapText="1"/>
      <protection/>
    </xf>
  </cellXfs>
  <cellStyles count="1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  <cellStyle name="Normal 10" xfId="21"/>
    <cellStyle name="Normal 11" xfId="22"/>
    <cellStyle name="20% - Accent1 2" xfId="23"/>
    <cellStyle name="20% - Accent1 3" xfId="24"/>
    <cellStyle name="20% - Accent2 2" xfId="25"/>
    <cellStyle name="20% - Accent2 3" xfId="26"/>
    <cellStyle name="20% - Accent3 2" xfId="27"/>
    <cellStyle name="20% - Accent3 3" xfId="28"/>
    <cellStyle name="20% - Accent4 2" xfId="29"/>
    <cellStyle name="20% - Accent4 3" xfId="30"/>
    <cellStyle name="20% - Accent5 2" xfId="31"/>
    <cellStyle name="20% - Accent6 2" xfId="32"/>
    <cellStyle name="20% - Accent6 3" xfId="33"/>
    <cellStyle name="40% - Accent1 2" xfId="34"/>
    <cellStyle name="40% - Accent1 3" xfId="35"/>
    <cellStyle name="40% - Accent2 2" xfId="36"/>
    <cellStyle name="40% - Accent3 2" xfId="37"/>
    <cellStyle name="40% - Accent3 3" xfId="38"/>
    <cellStyle name="40% - Accent4 2" xfId="39"/>
    <cellStyle name="40% - Accent4 3" xfId="40"/>
    <cellStyle name="40% - Accent5 2" xfId="41"/>
    <cellStyle name="40% - Accent6 2" xfId="42"/>
    <cellStyle name="40% - Accent6 3" xfId="43"/>
    <cellStyle name="60% - Accent1 2" xfId="44"/>
    <cellStyle name="60% - Accent1 3" xfId="45"/>
    <cellStyle name="60% - Accent2 2" xfId="46"/>
    <cellStyle name="60% - Accent3 2" xfId="47"/>
    <cellStyle name="60% - Accent3 3" xfId="48"/>
    <cellStyle name="60% - Accent4 2" xfId="49"/>
    <cellStyle name="60% - Accent4 3" xfId="50"/>
    <cellStyle name="60% - Accent5 2" xfId="51"/>
    <cellStyle name="60% - Accent5 3" xfId="52"/>
    <cellStyle name="60% - Accent6 2" xfId="53"/>
    <cellStyle name="60% - Accent6 3" xfId="54"/>
    <cellStyle name="Accent1 2" xfId="55"/>
    <cellStyle name="Accent1 3" xfId="56"/>
    <cellStyle name="Accent2 2" xfId="57"/>
    <cellStyle name="Accent3 2" xfId="58"/>
    <cellStyle name="Accent3 3" xfId="59"/>
    <cellStyle name="Accent4 2" xfId="60"/>
    <cellStyle name="Accent4 3" xfId="61"/>
    <cellStyle name="Accent5 2" xfId="62"/>
    <cellStyle name="Accent5 3" xfId="63"/>
    <cellStyle name="Accent6 2" xfId="64"/>
    <cellStyle name="Accent6 3" xfId="65"/>
    <cellStyle name="Bad 2" xfId="66"/>
    <cellStyle name="Calculation 2" xfId="67"/>
    <cellStyle name="Calculation 3" xfId="68"/>
    <cellStyle name="Check Cell 2" xfId="69"/>
    <cellStyle name="Check Cell 3" xfId="70"/>
    <cellStyle name="Comma 4" xfId="71"/>
    <cellStyle name="Comma 2" xfId="72"/>
    <cellStyle name="Comma 2 2" xfId="73"/>
    <cellStyle name="Comma 2 3" xfId="74"/>
    <cellStyle name="Comma 3" xfId="75"/>
    <cellStyle name="Currency 2" xfId="76"/>
    <cellStyle name="Currency 2 2" xfId="77"/>
    <cellStyle name="Currency 3" xfId="78"/>
    <cellStyle name="Currency 3 2" xfId="79"/>
    <cellStyle name="Currency 4" xfId="80"/>
    <cellStyle name="Explanatory Text 2" xfId="81"/>
    <cellStyle name="Good 2" xfId="82"/>
    <cellStyle name="Heading 1 2" xfId="83"/>
    <cellStyle name="Heading 1 3" xfId="84"/>
    <cellStyle name="Heading 2 2" xfId="85"/>
    <cellStyle name="Heading 2 3" xfId="86"/>
    <cellStyle name="Heading 3 2" xfId="87"/>
    <cellStyle name="Heading 3 3" xfId="88"/>
    <cellStyle name="Heading 4 2" xfId="89"/>
    <cellStyle name="Heading 4 3" xfId="90"/>
    <cellStyle name="Input 2" xfId="91"/>
    <cellStyle name="Input 3" xfId="92"/>
    <cellStyle name="Linked Cell 2" xfId="93"/>
    <cellStyle name="Linked Cell 3" xfId="94"/>
    <cellStyle name="Neutral 2" xfId="95"/>
    <cellStyle name="Neutral 3" xfId="96"/>
    <cellStyle name="Normal 2" xfId="97"/>
    <cellStyle name="Normal 2 2" xfId="98"/>
    <cellStyle name="Normal 3" xfId="99"/>
    <cellStyle name="Normal 3 2" xfId="100"/>
    <cellStyle name="Normal 3 3" xfId="101"/>
    <cellStyle name="Normal 4" xfId="102"/>
    <cellStyle name="Normal 4 2" xfId="103"/>
    <cellStyle name="Normal 5" xfId="104"/>
    <cellStyle name="Normal 5 2" xfId="105"/>
    <cellStyle name="Normal 6" xfId="106"/>
    <cellStyle name="Normal 7" xfId="107"/>
    <cellStyle name="Normal 8" xfId="108"/>
    <cellStyle name="Normal 9" xfId="109"/>
    <cellStyle name="Note 2" xfId="110"/>
    <cellStyle name="Note 3" xfId="111"/>
    <cellStyle name="Output 2" xfId="112"/>
    <cellStyle name="Output 3" xfId="113"/>
    <cellStyle name="Percent 9" xfId="114"/>
    <cellStyle name="Percent 2" xfId="115"/>
    <cellStyle name="Percent 2 2" xfId="116"/>
    <cellStyle name="Percent 2 3" xfId="117"/>
    <cellStyle name="Percent 3" xfId="118"/>
    <cellStyle name="Percent 3 2" xfId="119"/>
    <cellStyle name="Percent 4" xfId="120"/>
    <cellStyle name="Percent 5" xfId="121"/>
    <cellStyle name="Percent 6" xfId="122"/>
    <cellStyle name="Percent 7" xfId="123"/>
    <cellStyle name="Percent 8" xfId="124"/>
    <cellStyle name="Title 2" xfId="125"/>
    <cellStyle name="Title 3" xfId="126"/>
    <cellStyle name="Total 2" xfId="127"/>
    <cellStyle name="Total 3" xfId="128"/>
    <cellStyle name="Warning Text 2" xfId="129"/>
    <cellStyle name="Comma 5" xfId="130"/>
    <cellStyle name="Date" xfId="131"/>
    <cellStyle name="Fund" xfId="132"/>
    <cellStyle name="Phone" xfId="133"/>
    <cellStyle name="Total 4" xfId="134"/>
    <cellStyle name="Good 3" xfId="135"/>
    <cellStyle name="Neutral 4" xfId="136"/>
    <cellStyle name="Input 4" xfId="137"/>
    <cellStyle name="Calculation 4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110" zoomScaleNormal="110" workbookViewId="0" topLeftCell="A1">
      <selection activeCell="A1" sqref="A1:M54"/>
    </sheetView>
  </sheetViews>
  <sheetFormatPr defaultColWidth="9.140625" defaultRowHeight="12.75"/>
  <cols>
    <col min="1" max="1" width="37.7109375" style="0" customWidth="1"/>
    <col min="2" max="2" width="0.13671875" style="0" customWidth="1"/>
    <col min="3" max="3" width="15.7109375" style="0" hidden="1" customWidth="1"/>
    <col min="4" max="4" width="11.28125" style="0" bestFit="1" customWidth="1"/>
    <col min="5" max="5" width="12.28125" style="0" bestFit="1" customWidth="1"/>
    <col min="6" max="6" width="12.8515625" style="0" customWidth="1"/>
    <col min="7" max="7" width="11.7109375" style="29" customWidth="1"/>
    <col min="8" max="8" width="12.00390625" style="29" customWidth="1"/>
    <col min="9" max="9" width="12.7109375" style="7" bestFit="1" customWidth="1"/>
    <col min="10" max="10" width="13.7109375" style="7" customWidth="1"/>
    <col min="11" max="12" width="14.57421875" style="27" bestFit="1" customWidth="1"/>
    <col min="13" max="13" width="50.7109375" style="27" bestFit="1" customWidth="1"/>
    <col min="15" max="15" width="9.8515625" style="0" bestFit="1" customWidth="1"/>
  </cols>
  <sheetData>
    <row r="1" spans="1:13" ht="18.75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27" customFormat="1" ht="12.75">
      <c r="A2" s="28" t="s">
        <v>32</v>
      </c>
      <c r="B2" s="10"/>
      <c r="C2" s="11"/>
      <c r="D2" s="12"/>
      <c r="E2" s="9"/>
      <c r="F2" s="13"/>
      <c r="G2" s="13"/>
      <c r="H2" s="13"/>
      <c r="I2" s="13"/>
      <c r="J2" s="13"/>
      <c r="K2" s="13"/>
      <c r="L2" s="13"/>
      <c r="M2" s="13"/>
    </row>
    <row r="3" spans="1:13" s="27" customFormat="1" ht="12.75">
      <c r="A3" s="28" t="s">
        <v>33</v>
      </c>
      <c r="B3" s="10"/>
      <c r="C3" s="11"/>
      <c r="D3" s="12"/>
      <c r="E3" s="9"/>
      <c r="F3" s="13"/>
      <c r="G3" s="13"/>
      <c r="H3" s="13"/>
      <c r="I3" s="13"/>
      <c r="J3" s="13" t="s">
        <v>31</v>
      </c>
      <c r="K3" s="13"/>
      <c r="L3" s="13"/>
      <c r="M3" s="13"/>
    </row>
    <row r="4" spans="1:13" s="27" customFormat="1" ht="12.75">
      <c r="A4" s="28" t="s">
        <v>34</v>
      </c>
      <c r="B4" s="10"/>
      <c r="C4" s="11"/>
      <c r="D4" s="12"/>
      <c r="E4" s="9"/>
      <c r="F4" s="13"/>
      <c r="G4" s="13"/>
      <c r="H4" s="13"/>
      <c r="I4" s="13"/>
      <c r="J4" s="13" t="s">
        <v>49</v>
      </c>
      <c r="K4" s="13"/>
      <c r="L4" s="13"/>
      <c r="M4" s="13"/>
    </row>
    <row r="5" spans="1:13" ht="12.75">
      <c r="A5" s="28"/>
      <c r="B5" s="2"/>
      <c r="C5" s="3"/>
      <c r="D5" s="4"/>
      <c r="E5" s="1"/>
      <c r="F5" s="5"/>
      <c r="G5" s="13"/>
      <c r="H5" s="13"/>
      <c r="I5" s="13"/>
      <c r="J5" s="13"/>
      <c r="K5" s="13"/>
      <c r="L5" s="13"/>
      <c r="M5" s="13"/>
    </row>
    <row r="6" spans="1:13" ht="12.75">
      <c r="A6" s="31"/>
      <c r="B6" s="32"/>
      <c r="C6" s="33"/>
      <c r="D6" s="15"/>
      <c r="E6" s="16"/>
      <c r="F6" s="17"/>
      <c r="G6" s="17"/>
      <c r="H6" s="17"/>
      <c r="I6" s="17"/>
      <c r="J6" s="17"/>
      <c r="K6" s="17"/>
      <c r="L6" s="17"/>
      <c r="M6" s="17"/>
    </row>
    <row r="7" spans="1:13" ht="40.15" customHeight="1">
      <c r="A7" s="34"/>
      <c r="B7" s="35" t="s">
        <v>38</v>
      </c>
      <c r="C7" s="35" t="s">
        <v>39</v>
      </c>
      <c r="D7" s="35" t="s">
        <v>52</v>
      </c>
      <c r="E7" s="35" t="s">
        <v>53</v>
      </c>
      <c r="F7" s="35" t="s">
        <v>59</v>
      </c>
      <c r="G7" s="35" t="s">
        <v>55</v>
      </c>
      <c r="H7" s="35" t="s">
        <v>56</v>
      </c>
      <c r="I7" s="36" t="s">
        <v>54</v>
      </c>
      <c r="J7" s="36" t="s">
        <v>60</v>
      </c>
      <c r="K7" s="36" t="s">
        <v>35</v>
      </c>
      <c r="L7" s="36" t="s">
        <v>36</v>
      </c>
      <c r="M7" s="35" t="s">
        <v>37</v>
      </c>
    </row>
    <row r="8" spans="1:13" ht="12.75">
      <c r="A8" s="37" t="s">
        <v>5</v>
      </c>
      <c r="B8" s="38">
        <v>7125126</v>
      </c>
      <c r="C8" s="38">
        <v>2838173.806053959</v>
      </c>
      <c r="D8" s="38">
        <v>3050203.1433850676</v>
      </c>
      <c r="E8" s="38">
        <v>2451048.2810142115</v>
      </c>
      <c r="F8" s="38">
        <f>E33</f>
        <v>1607488.268569298</v>
      </c>
      <c r="G8" s="38">
        <f>D33</f>
        <v>2125056.95338507</v>
      </c>
      <c r="H8" s="38">
        <f>G33</f>
        <v>1281496.9409401566</v>
      </c>
      <c r="I8" s="39">
        <f>D33</f>
        <v>2125056.95338507</v>
      </c>
      <c r="J8" s="39">
        <f>I33</f>
        <v>1239838.6495417133</v>
      </c>
      <c r="K8" s="39">
        <f>+I8-E8</f>
        <v>-325991.3276291415</v>
      </c>
      <c r="L8" s="39">
        <f>+J8-F8</f>
        <v>-367649.6190275848</v>
      </c>
      <c r="M8" s="39"/>
    </row>
    <row r="9" spans="1:13" ht="12.75">
      <c r="A9" s="40" t="s">
        <v>6</v>
      </c>
      <c r="B9" s="41"/>
      <c r="C9" s="41"/>
      <c r="D9" s="41"/>
      <c r="E9" s="42"/>
      <c r="F9" s="43"/>
      <c r="G9" s="42"/>
      <c r="H9" s="43"/>
      <c r="I9" s="43"/>
      <c r="J9" s="43"/>
      <c r="K9" s="43"/>
      <c r="L9" s="43"/>
      <c r="M9" s="43"/>
    </row>
    <row r="10" spans="1:13" ht="25.5">
      <c r="A10" s="44" t="s">
        <v>7</v>
      </c>
      <c r="B10" s="45">
        <f>1093249-17601</f>
        <v>1075648</v>
      </c>
      <c r="C10" s="45">
        <v>1010048.36</v>
      </c>
      <c r="D10" s="46">
        <f>1137287+63417</f>
        <v>1200704</v>
      </c>
      <c r="E10" s="46">
        <v>857119.4120166448</v>
      </c>
      <c r="F10" s="46">
        <v>882832.9943771443</v>
      </c>
      <c r="G10" s="46">
        <v>857119.4120166448</v>
      </c>
      <c r="H10" s="46">
        <v>882832.9943771443</v>
      </c>
      <c r="I10" s="47">
        <f>+E10+17000+52904+110959+7000</f>
        <v>1044982.4120166448</v>
      </c>
      <c r="J10" s="47">
        <f>+F10</f>
        <v>882832.9943771443</v>
      </c>
      <c r="K10" s="47">
        <f>+I10-E10</f>
        <v>187863</v>
      </c>
      <c r="L10" s="47">
        <f>+J10-F10</f>
        <v>0</v>
      </c>
      <c r="M10" s="78" t="s">
        <v>51</v>
      </c>
    </row>
    <row r="11" spans="1:13" ht="12.75">
      <c r="A11" s="44" t="s">
        <v>8</v>
      </c>
      <c r="B11" s="45">
        <v>43651</v>
      </c>
      <c r="C11" s="45">
        <v>120000</v>
      </c>
      <c r="D11" s="46">
        <v>34265.65</v>
      </c>
      <c r="E11" s="46">
        <v>80000</v>
      </c>
      <c r="F11" s="46">
        <v>90000</v>
      </c>
      <c r="G11" s="46">
        <v>80000</v>
      </c>
      <c r="H11" s="46">
        <v>90000</v>
      </c>
      <c r="I11" s="47">
        <f>+D33*0.03</f>
        <v>63751.7086015521</v>
      </c>
      <c r="J11" s="47">
        <f>+I33*0.03</f>
        <v>37195.159486251396</v>
      </c>
      <c r="K11" s="47">
        <f aca="true" t="shared" si="0" ref="K11:K18">+I11-E11</f>
        <v>-16248.291398447902</v>
      </c>
      <c r="L11" s="47">
        <f aca="true" t="shared" si="1" ref="L11:L18">+J11-F11</f>
        <v>-52804.840513748604</v>
      </c>
      <c r="M11" s="47" t="s">
        <v>63</v>
      </c>
    </row>
    <row r="12" spans="1:15" ht="12.75">
      <c r="A12" s="44" t="s">
        <v>9</v>
      </c>
      <c r="B12" s="45">
        <v>26872011</v>
      </c>
      <c r="C12" s="45">
        <v>30078772.23808013</v>
      </c>
      <c r="D12" s="46">
        <v>30051864</v>
      </c>
      <c r="E12" s="46">
        <v>30535586</v>
      </c>
      <c r="F12" s="46">
        <v>33093091.41598788</v>
      </c>
      <c r="G12" s="46">
        <v>30535586</v>
      </c>
      <c r="H12" s="46">
        <v>33093091.41598788</v>
      </c>
      <c r="I12" s="47">
        <f>+E12</f>
        <v>30535586</v>
      </c>
      <c r="J12" s="47">
        <f aca="true" t="shared" si="2" ref="J12:J18">+F12</f>
        <v>33093091.41598788</v>
      </c>
      <c r="K12" s="47">
        <f t="shared" si="0"/>
        <v>0</v>
      </c>
      <c r="L12" s="47">
        <f t="shared" si="1"/>
        <v>0</v>
      </c>
      <c r="M12" s="47"/>
      <c r="O12" s="79"/>
    </row>
    <row r="13" spans="1:13" ht="12.75">
      <c r="A13" s="44" t="s">
        <v>10</v>
      </c>
      <c r="B13" s="45">
        <v>6083985</v>
      </c>
      <c r="C13" s="45">
        <v>5151125.899549012</v>
      </c>
      <c r="D13" s="46">
        <v>5013265.6</v>
      </c>
      <c r="E13" s="46">
        <v>5073834.029717702</v>
      </c>
      <c r="F13" s="46">
        <v>5317378.063144152</v>
      </c>
      <c r="G13" s="46">
        <v>5073834.029717702</v>
      </c>
      <c r="H13" s="46">
        <v>5317378.063144152</v>
      </c>
      <c r="I13" s="47">
        <f aca="true" t="shared" si="3" ref="I13:I18">+E13</f>
        <v>5073834.029717702</v>
      </c>
      <c r="J13" s="47">
        <f>+F13</f>
        <v>5317378.063144152</v>
      </c>
      <c r="K13" s="47">
        <f t="shared" si="0"/>
        <v>0</v>
      </c>
      <c r="L13" s="47">
        <f t="shared" si="1"/>
        <v>0</v>
      </c>
      <c r="M13" s="78"/>
    </row>
    <row r="14" spans="1:13" ht="12.75">
      <c r="A14" s="44" t="s">
        <v>11</v>
      </c>
      <c r="B14" s="45">
        <v>4126284</v>
      </c>
      <c r="C14" s="45">
        <v>3488725.445681498</v>
      </c>
      <c r="D14" s="46">
        <v>3036604</v>
      </c>
      <c r="E14" s="46">
        <v>3511629.721004707</v>
      </c>
      <c r="F14" s="46">
        <v>3616978.6126348483</v>
      </c>
      <c r="G14" s="46">
        <v>3511629.721004707</v>
      </c>
      <c r="H14" s="46">
        <v>3616978.6126348483</v>
      </c>
      <c r="I14" s="47">
        <f t="shared" si="3"/>
        <v>3511629.721004707</v>
      </c>
      <c r="J14" s="47">
        <f t="shared" si="2"/>
        <v>3616978.6126348483</v>
      </c>
      <c r="K14" s="47">
        <f t="shared" si="0"/>
        <v>0</v>
      </c>
      <c r="L14" s="47">
        <f t="shared" si="1"/>
        <v>0</v>
      </c>
      <c r="M14" s="47"/>
    </row>
    <row r="15" spans="1:13" ht="12.75">
      <c r="A15" s="44" t="s">
        <v>12</v>
      </c>
      <c r="B15" s="45">
        <v>2397295</v>
      </c>
      <c r="C15" s="45">
        <v>2933183.03154089</v>
      </c>
      <c r="D15" s="46">
        <v>3349517</v>
      </c>
      <c r="E15" s="46">
        <v>3189156.390551925</v>
      </c>
      <c r="F15" s="46">
        <v>3284831.082268483</v>
      </c>
      <c r="G15" s="46">
        <v>3189156.390551925</v>
      </c>
      <c r="H15" s="46">
        <v>3284831.082268483</v>
      </c>
      <c r="I15" s="47">
        <f t="shared" si="3"/>
        <v>3189156.390551925</v>
      </c>
      <c r="J15" s="47">
        <f t="shared" si="2"/>
        <v>3284831.082268483</v>
      </c>
      <c r="K15" s="47">
        <f t="shared" si="0"/>
        <v>0</v>
      </c>
      <c r="L15" s="47">
        <f t="shared" si="1"/>
        <v>0</v>
      </c>
      <c r="M15" s="47"/>
    </row>
    <row r="16" spans="1:13" ht="12.75">
      <c r="A16" s="44" t="s">
        <v>13</v>
      </c>
      <c r="B16" s="45">
        <v>1185596</v>
      </c>
      <c r="C16" s="45">
        <v>1519041.056303909</v>
      </c>
      <c r="D16" s="46">
        <v>1137871</v>
      </c>
      <c r="E16" s="46">
        <v>1668505.488750034</v>
      </c>
      <c r="F16" s="46">
        <v>1718560.653412535</v>
      </c>
      <c r="G16" s="46">
        <v>1668505.488750034</v>
      </c>
      <c r="H16" s="46">
        <v>1718560.653412535</v>
      </c>
      <c r="I16" s="47">
        <f t="shared" si="3"/>
        <v>1668505.488750034</v>
      </c>
      <c r="J16" s="47">
        <f t="shared" si="2"/>
        <v>1718560.653412535</v>
      </c>
      <c r="K16" s="47">
        <f t="shared" si="0"/>
        <v>0</v>
      </c>
      <c r="L16" s="47">
        <f t="shared" si="1"/>
        <v>0</v>
      </c>
      <c r="M16" s="47"/>
    </row>
    <row r="17" spans="1:13" ht="12.75">
      <c r="A17" s="44" t="s">
        <v>14</v>
      </c>
      <c r="B17" s="45">
        <v>1266448</v>
      </c>
      <c r="C17" s="45">
        <v>600000</v>
      </c>
      <c r="D17" s="46">
        <v>828318.56</v>
      </c>
      <c r="E17" s="46">
        <v>931520.3604787872</v>
      </c>
      <c r="F17" s="46">
        <v>959465.9712931509</v>
      </c>
      <c r="G17" s="46">
        <v>931520.3604787872</v>
      </c>
      <c r="H17" s="46">
        <v>959465.9712931509</v>
      </c>
      <c r="I17" s="47">
        <f>+E17</f>
        <v>931520.3604787872</v>
      </c>
      <c r="J17" s="47">
        <f t="shared" si="2"/>
        <v>959465.9712931509</v>
      </c>
      <c r="K17" s="47">
        <f t="shared" si="0"/>
        <v>0</v>
      </c>
      <c r="L17" s="47">
        <f t="shared" si="1"/>
        <v>0</v>
      </c>
      <c r="M17" s="47"/>
    </row>
    <row r="18" spans="1:13" ht="12.75">
      <c r="A18" s="48" t="s">
        <v>15</v>
      </c>
      <c r="B18" s="45">
        <v>367023.14338506473</v>
      </c>
      <c r="C18" s="45">
        <v>791728.1483216878</v>
      </c>
      <c r="D18" s="46">
        <v>796516</v>
      </c>
      <c r="E18" s="46">
        <v>1040688.5850352836</v>
      </c>
      <c r="F18" s="46">
        <v>1071909.2425863422</v>
      </c>
      <c r="G18" s="46">
        <v>1040688.5850352836</v>
      </c>
      <c r="H18" s="46">
        <v>1071909.2425863422</v>
      </c>
      <c r="I18" s="47">
        <f t="shared" si="3"/>
        <v>1040688.5850352836</v>
      </c>
      <c r="J18" s="47">
        <f t="shared" si="2"/>
        <v>1071909.2425863422</v>
      </c>
      <c r="K18" s="47">
        <f t="shared" si="0"/>
        <v>0</v>
      </c>
      <c r="L18" s="47">
        <f t="shared" si="1"/>
        <v>0</v>
      </c>
      <c r="M18" s="47"/>
    </row>
    <row r="19" spans="1:13" ht="12.75">
      <c r="A19" s="49" t="s">
        <v>16</v>
      </c>
      <c r="B19" s="50">
        <f>SUM(B10:B18)</f>
        <v>43417941.14338507</v>
      </c>
      <c r="C19" s="51">
        <f>SUM(C10:C18)</f>
        <v>45692624.17947713</v>
      </c>
      <c r="D19" s="52">
        <f>SUM(D10:D18)</f>
        <v>45448925.81</v>
      </c>
      <c r="E19" s="53">
        <f>SUM(E9:E18)</f>
        <v>46888039.98755509</v>
      </c>
      <c r="F19" s="52">
        <f>SUM(F10:F18)</f>
        <v>50035048.03570454</v>
      </c>
      <c r="G19" s="53">
        <f>SUM(G9:G18)</f>
        <v>46888039.98755509</v>
      </c>
      <c r="H19" s="52">
        <f>SUM(H10:H18)</f>
        <v>50035048.03570454</v>
      </c>
      <c r="I19" s="52">
        <f>SUM(I10:I18)</f>
        <v>47059654.69615664</v>
      </c>
      <c r="J19" s="52">
        <f aca="true" t="shared" si="4" ref="J19:L19">SUM(J9:J18)</f>
        <v>49982243.19519079</v>
      </c>
      <c r="K19" s="52">
        <f t="shared" si="4"/>
        <v>171614.7086015521</v>
      </c>
      <c r="L19" s="52">
        <f t="shared" si="4"/>
        <v>-52804.840513748604</v>
      </c>
      <c r="M19" s="52"/>
    </row>
    <row r="20" spans="1:13" ht="15.75">
      <c r="A20" s="80" t="s">
        <v>40</v>
      </c>
      <c r="B20" s="55"/>
      <c r="C20" s="55"/>
      <c r="D20" s="55"/>
      <c r="E20" s="56"/>
      <c r="F20" s="57"/>
      <c r="G20" s="56"/>
      <c r="H20" s="57"/>
      <c r="I20" s="57"/>
      <c r="J20" s="57"/>
      <c r="K20" s="57"/>
      <c r="L20" s="57"/>
      <c r="M20" s="57"/>
    </row>
    <row r="21" spans="1:13" ht="12.75">
      <c r="A21" s="44" t="s">
        <v>17</v>
      </c>
      <c r="B21" s="45">
        <f>-4387045-B22</f>
        <v>-3315102</v>
      </c>
      <c r="C21" s="45">
        <v>-4280260</v>
      </c>
      <c r="D21" s="45">
        <f>-4245470-105186</f>
        <v>-4350656</v>
      </c>
      <c r="E21" s="46">
        <v>-4944958</v>
      </c>
      <c r="F21" s="47">
        <v>-5234088</v>
      </c>
      <c r="G21" s="46">
        <v>-4944958</v>
      </c>
      <c r="H21" s="47">
        <v>-5234088</v>
      </c>
      <c r="I21" s="47">
        <f>E21</f>
        <v>-4944958</v>
      </c>
      <c r="J21" s="47">
        <f>F21</f>
        <v>-5234088</v>
      </c>
      <c r="K21" s="47">
        <f>+I21-E21</f>
        <v>0</v>
      </c>
      <c r="L21" s="47">
        <f>+J21-F21</f>
        <v>0</v>
      </c>
      <c r="M21" s="47"/>
    </row>
    <row r="22" spans="1:13" ht="12.75">
      <c r="A22" s="44" t="s">
        <v>13</v>
      </c>
      <c r="B22" s="45">
        <f>-502373-569570</f>
        <v>-1071943</v>
      </c>
      <c r="C22" s="45">
        <v>-1227645</v>
      </c>
      <c r="D22" s="45">
        <v>-1158154</v>
      </c>
      <c r="E22" s="46">
        <f>-1350724</f>
        <v>-1350724</v>
      </c>
      <c r="F22" s="47">
        <f>-1408457</f>
        <v>-1408457</v>
      </c>
      <c r="G22" s="46">
        <f>-1350724</f>
        <v>-1350724</v>
      </c>
      <c r="H22" s="47">
        <f>-1408457</f>
        <v>-1408457</v>
      </c>
      <c r="I22" s="47">
        <f aca="true" t="shared" si="5" ref="I22:I25">E22</f>
        <v>-1350724</v>
      </c>
      <c r="J22" s="47">
        <f aca="true" t="shared" si="6" ref="J22:J25">F22</f>
        <v>-1408457</v>
      </c>
      <c r="K22" s="47">
        <f aca="true" t="shared" si="7" ref="K22:K25">+I22-E22</f>
        <v>0</v>
      </c>
      <c r="L22" s="47">
        <f aca="true" t="shared" si="8" ref="L22:L25">+J22-F22</f>
        <v>0</v>
      </c>
      <c r="M22" s="47"/>
    </row>
    <row r="23" spans="1:13" ht="38.25">
      <c r="A23" s="44" t="s">
        <v>18</v>
      </c>
      <c r="B23" s="45">
        <v>-37609437</v>
      </c>
      <c r="C23" s="45">
        <v>-36636492</v>
      </c>
      <c r="D23" s="45">
        <v>-37066815</v>
      </c>
      <c r="E23" s="46">
        <f>-3537999-34107006-57587</f>
        <v>-37702592</v>
      </c>
      <c r="F23" s="47">
        <f>-3482978-35325907-85690-1628</f>
        <v>-38896203</v>
      </c>
      <c r="G23" s="46">
        <f>-3537999-34107006-57587</f>
        <v>-37702592</v>
      </c>
      <c r="H23" s="47">
        <f>-3482978-35325907-85690-1628</f>
        <v>-38896203</v>
      </c>
      <c r="I23" s="47">
        <f>E23-15000-52904-54000-91369</f>
        <v>-37915865</v>
      </c>
      <c r="J23" s="47">
        <f>F23</f>
        <v>-38896203</v>
      </c>
      <c r="K23" s="47">
        <f t="shared" si="7"/>
        <v>-213273</v>
      </c>
      <c r="L23" s="47">
        <f t="shared" si="8"/>
        <v>0</v>
      </c>
      <c r="M23" s="78" t="s">
        <v>50</v>
      </c>
    </row>
    <row r="24" spans="1:13" ht="12.75">
      <c r="A24" s="44" t="s">
        <v>19</v>
      </c>
      <c r="B24" s="45">
        <v>-4007358</v>
      </c>
      <c r="C24" s="45">
        <v>-3013440</v>
      </c>
      <c r="D24" s="45">
        <v>-2969725</v>
      </c>
      <c r="E24" s="46">
        <f>-1152023-1757842</f>
        <v>-2909865</v>
      </c>
      <c r="F24" s="47">
        <f>-1357262-1838739</f>
        <v>-3196001</v>
      </c>
      <c r="G24" s="46">
        <f>-1152023-1757842</f>
        <v>-2909865</v>
      </c>
      <c r="H24" s="47">
        <f>-1357262-1838739</f>
        <v>-3196001</v>
      </c>
      <c r="I24" s="47">
        <f t="shared" si="5"/>
        <v>-2909865</v>
      </c>
      <c r="J24" s="47">
        <f t="shared" si="6"/>
        <v>-3196001</v>
      </c>
      <c r="K24" s="47">
        <f t="shared" si="7"/>
        <v>0</v>
      </c>
      <c r="L24" s="47">
        <f t="shared" si="8"/>
        <v>0</v>
      </c>
      <c r="M24" s="47"/>
    </row>
    <row r="25" spans="1:13" ht="12.75">
      <c r="A25" s="44" t="s">
        <v>14</v>
      </c>
      <c r="B25" s="45">
        <v>-1514777</v>
      </c>
      <c r="C25" s="45">
        <v>-801115</v>
      </c>
      <c r="D25" s="45">
        <v>-828722</v>
      </c>
      <c r="E25" s="46">
        <f>-823461</f>
        <v>-823461</v>
      </c>
      <c r="F25" s="47">
        <f>-846859</f>
        <v>-846859</v>
      </c>
      <c r="G25" s="46">
        <f>-823461</f>
        <v>-823461</v>
      </c>
      <c r="H25" s="47">
        <f>-846859</f>
        <v>-846859</v>
      </c>
      <c r="I25" s="47">
        <f t="shared" si="5"/>
        <v>-823461</v>
      </c>
      <c r="J25" s="47">
        <f t="shared" si="6"/>
        <v>-846859</v>
      </c>
      <c r="K25" s="47">
        <f t="shared" si="7"/>
        <v>0</v>
      </c>
      <c r="L25" s="47">
        <f t="shared" si="8"/>
        <v>0</v>
      </c>
      <c r="M25" s="47"/>
    </row>
    <row r="26" spans="1:13" s="29" customFormat="1" ht="12.75">
      <c r="A26" s="81" t="s">
        <v>20</v>
      </c>
      <c r="B26" s="82">
        <f>SUM(B21:B25)</f>
        <v>-47518617</v>
      </c>
      <c r="C26" s="82">
        <f>SUM(C20:C25)</f>
        <v>-45958952</v>
      </c>
      <c r="D26" s="83">
        <f>SUM(D21:D25)</f>
        <v>-46374072</v>
      </c>
      <c r="E26" s="53">
        <f>SUM(E21:E25)</f>
        <v>-47731600</v>
      </c>
      <c r="F26" s="52">
        <f>SUM(F20:F25)</f>
        <v>-49581608</v>
      </c>
      <c r="G26" s="53">
        <f>SUM(G21:G25)</f>
        <v>-47731600</v>
      </c>
      <c r="H26" s="52">
        <f>SUM(H20:H25)</f>
        <v>-49581608</v>
      </c>
      <c r="I26" s="52">
        <f aca="true" t="shared" si="9" ref="I26:J26">SUM(I20:I25)</f>
        <v>-47944873</v>
      </c>
      <c r="J26" s="52">
        <f t="shared" si="9"/>
        <v>-49581608</v>
      </c>
      <c r="K26" s="52">
        <f aca="true" t="shared" si="10" ref="K26">SUM(K20:K25)</f>
        <v>-213273</v>
      </c>
      <c r="L26" s="52">
        <f aca="true" t="shared" si="11" ref="L26">SUM(L20:L25)</f>
        <v>0</v>
      </c>
      <c r="M26" s="47"/>
    </row>
    <row r="27" spans="1:13" s="29" customFormat="1" ht="12.75">
      <c r="A27" s="84" t="s">
        <v>57</v>
      </c>
      <c r="B27" s="55"/>
      <c r="C27" s="85"/>
      <c r="D27" s="86"/>
      <c r="E27" s="87"/>
      <c r="F27" s="88">
        <f>SUM(E26:F26)</f>
        <v>-97313208</v>
      </c>
      <c r="G27" s="87"/>
      <c r="H27" s="88">
        <f>SUM(G26:H26)</f>
        <v>-97313208</v>
      </c>
      <c r="I27" s="88"/>
      <c r="J27" s="88">
        <f>SUM(I26:J26)</f>
        <v>-97526481</v>
      </c>
      <c r="K27" s="88"/>
      <c r="L27" s="88"/>
      <c r="M27" s="47"/>
    </row>
    <row r="28" spans="1:13" s="29" customFormat="1" ht="12.75">
      <c r="A28" s="89" t="s">
        <v>58</v>
      </c>
      <c r="B28" s="82"/>
      <c r="C28" s="90"/>
      <c r="D28" s="91"/>
      <c r="E28" s="53"/>
      <c r="F28" s="52"/>
      <c r="G28" s="53"/>
      <c r="H28" s="52"/>
      <c r="I28" s="52"/>
      <c r="J28" s="52"/>
      <c r="K28" s="52"/>
      <c r="L28" s="52"/>
      <c r="M28" s="47"/>
    </row>
    <row r="29" spans="1:13" ht="12.75">
      <c r="A29" s="58" t="s">
        <v>21</v>
      </c>
      <c r="B29" s="46"/>
      <c r="C29" s="59"/>
      <c r="D29" s="60"/>
      <c r="E29" s="46"/>
      <c r="F29" s="46"/>
      <c r="G29" s="46"/>
      <c r="H29" s="46"/>
      <c r="I29" s="47"/>
      <c r="J29" s="47"/>
      <c r="K29" s="47"/>
      <c r="L29" s="47"/>
      <c r="M29" s="47"/>
    </row>
    <row r="30" spans="1:13" ht="15.75">
      <c r="A30" s="48" t="s">
        <v>41</v>
      </c>
      <c r="B30" s="61">
        <v>-2005918</v>
      </c>
      <c r="C30" s="46">
        <v>-1100000</v>
      </c>
      <c r="D30" s="46">
        <v>-570497</v>
      </c>
      <c r="E30" s="46"/>
      <c r="F30" s="46"/>
      <c r="G30" s="46"/>
      <c r="H30" s="46"/>
      <c r="I30" s="47"/>
      <c r="J30" s="47"/>
      <c r="K30" s="47"/>
      <c r="L30" s="47"/>
      <c r="M30" s="47"/>
    </row>
    <row r="31" spans="1:13" ht="15.75">
      <c r="A31" s="48" t="s">
        <v>42</v>
      </c>
      <c r="B31" s="61">
        <v>2005918</v>
      </c>
      <c r="C31" s="46">
        <v>1100000</v>
      </c>
      <c r="D31" s="46">
        <f>-D30</f>
        <v>570497</v>
      </c>
      <c r="E31" s="46"/>
      <c r="F31" s="46"/>
      <c r="G31" s="46"/>
      <c r="H31" s="46"/>
      <c r="I31" s="47"/>
      <c r="J31" s="47"/>
      <c r="K31" s="47"/>
      <c r="L31" s="47"/>
      <c r="M31" s="47"/>
    </row>
    <row r="32" spans="1:13" ht="12.75">
      <c r="A32" s="63" t="s">
        <v>22</v>
      </c>
      <c r="B32" s="64">
        <f>SUM(B30:B31)</f>
        <v>0</v>
      </c>
      <c r="C32" s="52">
        <f>SUM(C30:C31)</f>
        <v>0</v>
      </c>
      <c r="D32" s="65">
        <f>SUM(D29:D31)</f>
        <v>0</v>
      </c>
      <c r="E32" s="53">
        <f>SUM(E29:E31)</f>
        <v>0</v>
      </c>
      <c r="F32" s="53">
        <f>SUM(F29:F31)</f>
        <v>0</v>
      </c>
      <c r="G32" s="53">
        <f>SUM(G29:G31)</f>
        <v>0</v>
      </c>
      <c r="H32" s="53">
        <f>SUM(H29:H31)</f>
        <v>0</v>
      </c>
      <c r="I32" s="52"/>
      <c r="J32" s="52"/>
      <c r="K32" s="52"/>
      <c r="L32" s="52"/>
      <c r="M32" s="52"/>
    </row>
    <row r="33" spans="1:13" ht="12.75">
      <c r="A33" s="63" t="s">
        <v>23</v>
      </c>
      <c r="B33" s="64">
        <f aca="true" t="shared" si="12" ref="B33:L33">B8+B19+B26+B32</f>
        <v>3024450.1433850676</v>
      </c>
      <c r="C33" s="64">
        <f t="shared" si="12"/>
        <v>2571845.9855310917</v>
      </c>
      <c r="D33" s="64">
        <f t="shared" si="12"/>
        <v>2125056.95338507</v>
      </c>
      <c r="E33" s="66">
        <f t="shared" si="12"/>
        <v>1607488.268569298</v>
      </c>
      <c r="F33" s="66">
        <f t="shared" si="12"/>
        <v>2060928.3042738363</v>
      </c>
      <c r="G33" s="66">
        <f aca="true" t="shared" si="13" ref="G33:H33">G8+G19+G26+G32</f>
        <v>1281496.9409401566</v>
      </c>
      <c r="H33" s="66">
        <f t="shared" si="13"/>
        <v>1734936.9766446948</v>
      </c>
      <c r="I33" s="66">
        <f t="shared" si="12"/>
        <v>1239838.6495417133</v>
      </c>
      <c r="J33" s="66">
        <f t="shared" si="12"/>
        <v>1640473.8447325006</v>
      </c>
      <c r="K33" s="66">
        <f t="shared" si="12"/>
        <v>-367649.61902758945</v>
      </c>
      <c r="L33" s="66">
        <f t="shared" si="12"/>
        <v>-420454.4595413334</v>
      </c>
      <c r="M33" s="66"/>
    </row>
    <row r="34" spans="1:13" ht="12.75">
      <c r="A34" s="54" t="s">
        <v>24</v>
      </c>
      <c r="B34" s="45"/>
      <c r="C34" s="45"/>
      <c r="D34" s="45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2.75" hidden="1">
      <c r="A35" s="44" t="s">
        <v>61</v>
      </c>
      <c r="B35" s="47">
        <v>-694277</v>
      </c>
      <c r="C35" s="47">
        <v>-292739</v>
      </c>
      <c r="D35" s="62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15.75">
      <c r="A36" s="44" t="s">
        <v>46</v>
      </c>
      <c r="B36" s="45">
        <f>-2908403</f>
        <v>-2908403</v>
      </c>
      <c r="C36" s="45">
        <f>-2765649.73076863</f>
        <v>-2765649.73076863</v>
      </c>
      <c r="D36" s="45">
        <v>-2765649.73076863</v>
      </c>
      <c r="E36" s="46">
        <f>(-E19)*0.03</f>
        <v>-1406641.1996266525</v>
      </c>
      <c r="F36" s="46">
        <f>-F19*0.03</f>
        <v>-1501051.4410711362</v>
      </c>
      <c r="G36" s="46">
        <f>(-G19)*0.03</f>
        <v>-1406641.1996266525</v>
      </c>
      <c r="H36" s="46">
        <f>-H19*0.03</f>
        <v>-1501051.4410711362</v>
      </c>
      <c r="I36" s="46">
        <f>(-I19)*0.03</f>
        <v>-1411789.6408846993</v>
      </c>
      <c r="J36" s="46">
        <f>-J19*0.03</f>
        <v>-1499467.2958557236</v>
      </c>
      <c r="K36" s="47">
        <f aca="true" t="shared" si="14" ref="K36">+I36-E36</f>
        <v>-5148.441258046776</v>
      </c>
      <c r="L36" s="46">
        <f>-L19*0.06</f>
        <v>3168.2904308249163</v>
      </c>
      <c r="M36" s="46" t="s">
        <v>48</v>
      </c>
    </row>
    <row r="37" spans="1:13" ht="12.75">
      <c r="A37" s="67" t="s">
        <v>25</v>
      </c>
      <c r="B37" s="68">
        <f aca="true" t="shared" si="15" ref="B37:J37">SUM(B35:B36)</f>
        <v>-3602680</v>
      </c>
      <c r="C37" s="68">
        <f t="shared" si="15"/>
        <v>-3058388.73076863</v>
      </c>
      <c r="D37" s="68">
        <f t="shared" si="15"/>
        <v>-2765649.73076863</v>
      </c>
      <c r="E37" s="69">
        <f t="shared" si="15"/>
        <v>-1406641.1996266525</v>
      </c>
      <c r="F37" s="70">
        <f t="shared" si="15"/>
        <v>-1501051.4410711362</v>
      </c>
      <c r="G37" s="69">
        <f aca="true" t="shared" si="16" ref="G37:H37">SUM(G35:G36)</f>
        <v>-1406641.1996266525</v>
      </c>
      <c r="H37" s="70">
        <f t="shared" si="16"/>
        <v>-1501051.4410711362</v>
      </c>
      <c r="I37" s="70">
        <f t="shared" si="15"/>
        <v>-1411789.6408846993</v>
      </c>
      <c r="J37" s="70">
        <f t="shared" si="15"/>
        <v>-1499467.2958557236</v>
      </c>
      <c r="K37" s="70"/>
      <c r="L37" s="70"/>
      <c r="M37" s="70"/>
    </row>
    <row r="38" spans="1:13" ht="12.75">
      <c r="A38" s="44" t="s">
        <v>26</v>
      </c>
      <c r="B38" s="45">
        <f aca="true" t="shared" si="17" ref="B38:J38">IF(B33+B37&lt;0,B33+B37,0)</f>
        <v>-578229.8566149324</v>
      </c>
      <c r="C38" s="45">
        <f t="shared" si="17"/>
        <v>-486542.7452375381</v>
      </c>
      <c r="D38" s="45">
        <f t="shared" si="17"/>
        <v>-640592.7773835598</v>
      </c>
      <c r="E38" s="46">
        <f t="shared" si="17"/>
        <v>0</v>
      </c>
      <c r="F38" s="47">
        <f t="shared" si="17"/>
        <v>0</v>
      </c>
      <c r="G38" s="46">
        <f aca="true" t="shared" si="18" ref="G38:H38">IF(G33+G37&lt;0,G33+G37,0)</f>
        <v>-125144.25868649594</v>
      </c>
      <c r="H38" s="47">
        <f t="shared" si="18"/>
        <v>0</v>
      </c>
      <c r="I38" s="46">
        <f t="shared" si="17"/>
        <v>-171950.991342986</v>
      </c>
      <c r="J38" s="46">
        <f t="shared" si="17"/>
        <v>0</v>
      </c>
      <c r="K38" s="46"/>
      <c r="L38" s="46"/>
      <c r="M38" s="46"/>
    </row>
    <row r="39" spans="1:13" ht="12.75">
      <c r="A39" s="71" t="s">
        <v>27</v>
      </c>
      <c r="B39" s="72">
        <f aca="true" t="shared" si="19" ref="B39:J39">IF(B38&lt;0,0,B33+B37)</f>
        <v>0</v>
      </c>
      <c r="C39" s="72">
        <f t="shared" si="19"/>
        <v>0</v>
      </c>
      <c r="D39" s="72">
        <f t="shared" si="19"/>
        <v>0</v>
      </c>
      <c r="E39" s="73">
        <f t="shared" si="19"/>
        <v>200847.06894264556</v>
      </c>
      <c r="F39" s="73">
        <f t="shared" si="19"/>
        <v>559876.8632027002</v>
      </c>
      <c r="G39" s="73">
        <f aca="true" t="shared" si="20" ref="G39:H39">IF(G38&lt;0,0,G33+G37)</f>
        <v>0</v>
      </c>
      <c r="H39" s="73">
        <f t="shared" si="20"/>
        <v>233885.53557355865</v>
      </c>
      <c r="I39" s="73">
        <f t="shared" si="19"/>
        <v>0</v>
      </c>
      <c r="J39" s="73">
        <f t="shared" si="19"/>
        <v>141006.54887677706</v>
      </c>
      <c r="K39" s="73"/>
      <c r="L39" s="73"/>
      <c r="M39" s="73"/>
    </row>
    <row r="40" spans="1:13" ht="12.75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1:13" ht="12.75">
      <c r="A41" s="76" t="s">
        <v>28</v>
      </c>
      <c r="B41" s="75"/>
      <c r="C41" s="75"/>
      <c r="D41" s="75"/>
      <c r="E41" s="75"/>
      <c r="F41" s="14"/>
      <c r="G41" s="14"/>
      <c r="H41" s="14"/>
      <c r="I41" s="14"/>
      <c r="J41" s="14"/>
      <c r="K41" s="14"/>
      <c r="L41" s="14"/>
      <c r="M41" s="14"/>
    </row>
    <row r="42" spans="1:13" ht="15.75">
      <c r="A42" s="30" t="s">
        <v>43</v>
      </c>
      <c r="B42" s="20"/>
      <c r="C42" s="21"/>
      <c r="D42" s="19"/>
      <c r="E42" s="22"/>
      <c r="F42" s="19"/>
      <c r="G42" s="19"/>
      <c r="H42" s="19"/>
      <c r="I42" s="19"/>
      <c r="J42" s="19"/>
      <c r="K42" s="19"/>
      <c r="L42" s="19"/>
      <c r="M42" s="19"/>
    </row>
    <row r="43" spans="1:13" ht="12.75">
      <c r="A43" s="30" t="s">
        <v>44</v>
      </c>
      <c r="B43" s="9"/>
      <c r="C43" s="75"/>
      <c r="D43" s="9"/>
      <c r="E43" s="75"/>
      <c r="F43" s="19"/>
      <c r="G43" s="19"/>
      <c r="H43" s="19"/>
      <c r="I43" s="19"/>
      <c r="J43" s="19"/>
      <c r="K43" s="19"/>
      <c r="L43" s="19"/>
      <c r="M43" s="19"/>
    </row>
    <row r="44" spans="1:13" ht="12.75">
      <c r="A44" s="30" t="s">
        <v>62</v>
      </c>
      <c r="B44" s="9"/>
      <c r="C44" s="75"/>
      <c r="D44" s="9"/>
      <c r="E44" s="75"/>
      <c r="F44" s="19"/>
      <c r="G44" s="19"/>
      <c r="H44" s="19"/>
      <c r="I44" s="19"/>
      <c r="J44" s="19"/>
      <c r="K44" s="19"/>
      <c r="L44" s="19"/>
      <c r="M44" s="19"/>
    </row>
    <row r="45" spans="1:13" ht="12.75">
      <c r="A45" s="23" t="s">
        <v>45</v>
      </c>
      <c r="B45" s="24"/>
      <c r="C45" s="75"/>
      <c r="D45" s="19"/>
      <c r="E45" s="75"/>
      <c r="F45" s="19"/>
      <c r="G45" s="19"/>
      <c r="H45" s="19"/>
      <c r="I45" s="19"/>
      <c r="J45" s="19"/>
      <c r="K45" s="19"/>
      <c r="L45" s="19"/>
      <c r="M45" s="19"/>
    </row>
    <row r="46" spans="1:13" ht="12.75">
      <c r="A46" s="23" t="s">
        <v>29</v>
      </c>
      <c r="B46" s="25"/>
      <c r="C46" s="13"/>
      <c r="D46" s="26"/>
      <c r="E46" s="26"/>
      <c r="F46" s="14"/>
      <c r="G46" s="14"/>
      <c r="H46" s="14"/>
      <c r="I46" s="14"/>
      <c r="J46" s="14"/>
      <c r="K46" s="14"/>
      <c r="L46" s="14"/>
      <c r="M46" s="14"/>
    </row>
    <row r="47" spans="1:13" ht="12.75">
      <c r="A47" s="23" t="s">
        <v>47</v>
      </c>
      <c r="B47" s="25"/>
      <c r="C47" s="13"/>
      <c r="D47" s="26"/>
      <c r="E47" s="26"/>
      <c r="F47" s="14"/>
      <c r="G47" s="14"/>
      <c r="H47" s="14"/>
      <c r="I47" s="14"/>
      <c r="J47" s="14"/>
      <c r="K47" s="14"/>
      <c r="L47" s="14"/>
      <c r="M47" s="14"/>
    </row>
    <row r="48" spans="1:13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spans="1:13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</row>
    <row r="50" spans="1:8" ht="12.75">
      <c r="A50" s="12" t="s">
        <v>0</v>
      </c>
      <c r="B50" s="9"/>
      <c r="C50" s="13"/>
      <c r="D50" s="13"/>
      <c r="E50" s="13"/>
      <c r="F50" s="14"/>
      <c r="G50" s="14"/>
      <c r="H50" s="14"/>
    </row>
    <row r="51" spans="1:8" ht="12.75">
      <c r="A51" s="15" t="s">
        <v>1</v>
      </c>
      <c r="B51" s="16"/>
      <c r="C51" s="17">
        <v>1.048</v>
      </c>
      <c r="D51" s="17"/>
      <c r="E51" s="17"/>
      <c r="F51" s="17">
        <v>1.044</v>
      </c>
      <c r="G51" s="17"/>
      <c r="H51" s="17"/>
    </row>
    <row r="52" spans="1:8" ht="12.75">
      <c r="A52" s="18" t="s">
        <v>2</v>
      </c>
      <c r="B52" s="16"/>
      <c r="C52" s="16">
        <v>1.03</v>
      </c>
      <c r="D52" s="16"/>
      <c r="E52" s="16"/>
      <c r="F52" s="16">
        <v>1.03</v>
      </c>
      <c r="G52" s="16"/>
      <c r="H52" s="16"/>
    </row>
    <row r="53" spans="1:8" ht="12.75">
      <c r="A53" s="8" t="s">
        <v>3</v>
      </c>
      <c r="B53" s="16"/>
      <c r="C53" s="6" t="s">
        <v>4</v>
      </c>
      <c r="D53" s="17"/>
      <c r="E53" s="17"/>
      <c r="F53" s="16">
        <v>1.05</v>
      </c>
      <c r="G53" s="16"/>
      <c r="H53" s="16"/>
    </row>
  </sheetData>
  <mergeCells count="1">
    <mergeCell ref="A1:M1"/>
  </mergeCells>
  <printOptions/>
  <pageMargins left="0.7" right="0.7" top="0.75" bottom="0.75" header="0.3" footer="0.3"/>
  <pageSetup horizontalDpi="600" verticalDpi="600" orientation="landscape" paperSize="17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Supplemental Request</Type_x0020_of_x0020_Documen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1" ma:contentTypeDescription="Create a new document." ma:contentTypeScope="" ma:versionID="0e2e6e02f22e2d1e98ce05970a88e611">
  <xsd:schema xmlns:xsd="http://www.w3.org/2001/XMLSchema" xmlns:xs="http://www.w3.org/2001/XMLSchema" xmlns:p="http://schemas.microsoft.com/office/2006/metadata/properties" xmlns:ns2="28439e1d-cdb8-498b-9d61-4bb0e3bfb59b" targetNamespace="http://schemas.microsoft.com/office/2006/metadata/properties" ma:root="true" ma:fieldsID="dfe59fe4b24a891071351a2c2c340e4d" ns2:_="">
    <xsd:import namespace="28439e1d-cdb8-498b-9d61-4bb0e3bfb59b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BCDC60-3C2A-41E2-B613-99249CFE3BA1}">
  <ds:schemaRefs>
    <ds:schemaRef ds:uri="http://schemas.microsoft.com/office/2006/metadata/properties"/>
    <ds:schemaRef ds:uri="http://schemas.microsoft.com/office/infopath/2007/PartnerControls"/>
    <ds:schemaRef ds:uri="28439e1d-cdb8-498b-9d61-4bb0e3bfb59b"/>
  </ds:schemaRefs>
</ds:datastoreItem>
</file>

<file path=customXml/itemProps2.xml><?xml version="1.0" encoding="utf-8"?>
<ds:datastoreItem xmlns:ds="http://schemas.openxmlformats.org/officeDocument/2006/customXml" ds:itemID="{5DCA2DB2-81DB-4225-83A5-46CB93D0DE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34CC03-61B8-4EAB-A0CB-D05D834D4E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maihanh</dc:creator>
  <cp:keywords/>
  <dc:description/>
  <cp:lastModifiedBy>harriss</cp:lastModifiedBy>
  <cp:lastPrinted>2013-05-24T22:18:57Z</cp:lastPrinted>
  <dcterms:created xsi:type="dcterms:W3CDTF">2013-04-24T22:26:36Z</dcterms:created>
  <dcterms:modified xsi:type="dcterms:W3CDTF">2013-05-24T22:22:03Z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0x01010006357F40A17F5A46B45724A55B764B36</vt:lpwstr>
  </property>
</Properties>
</file>