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7770" firstSheet="8" activeTab="8"/>
  </bookViews>
  <sheets>
    <sheet name="yesler conversion" sheetId="1" state="hidden" r:id="rId1"/>
    <sheet name="kingstreet converison" sheetId="2" state="hidden" r:id="rId2"/>
    <sheet name="admin conversion" sheetId="3" state="hidden" r:id="rId3"/>
    <sheet name="courthouse conversion" sheetId="4" state="hidden" r:id="rId4"/>
    <sheet name="yesler post-csp data" sheetId="5" state="hidden" r:id="rId5"/>
    <sheet name="kingstreet post-csp data" sheetId="6" state="hidden" r:id="rId6"/>
    <sheet name="admin post-csp data" sheetId="7" state="hidden" r:id="rId7"/>
    <sheet name="courthouse post-csp data" sheetId="8" state="hidden" r:id="rId8"/>
    <sheet name="courthouse post-csp stack" sheetId="9" r:id="rId9"/>
    <sheet name="yesler post-csp stack" sheetId="10" r:id="rId10"/>
    <sheet name="kingstreet post-csp stack" sheetId="11" r:id="rId11"/>
    <sheet name="admin post-csp stack" sheetId="12" r:id="rId12"/>
  </sheets>
  <definedNames>
    <definedName name="_xlnm.Print_Area" localSheetId="3">'courthouse conversion'!$A$1:$N$42</definedName>
  </definedNames>
  <calcPr fullCalcOnLoad="1"/>
</workbook>
</file>

<file path=xl/comments3.xml><?xml version="1.0" encoding="utf-8"?>
<comments xmlns="http://schemas.openxmlformats.org/spreadsheetml/2006/main">
  <authors>
    <author>KUREK</author>
  </authors>
  <commentList>
    <comment ref="E11" authorId="0">
      <text>
        <r>
          <rPr>
            <b/>
            <sz val="10"/>
            <rFont val="Tahoma"/>
            <family val="0"/>
          </rPr>
          <t>KUREK:</t>
        </r>
        <r>
          <rPr>
            <sz val="10"/>
            <rFont val="Tahoma"/>
            <family val="0"/>
          </rPr>
          <t xml:space="preserve">
2779 IS CONFERENCE ROOMS</t>
        </r>
      </text>
    </comment>
  </commentList>
</comments>
</file>

<file path=xl/comments4.xml><?xml version="1.0" encoding="utf-8"?>
<comments xmlns="http://schemas.openxmlformats.org/spreadsheetml/2006/main">
  <authors>
    <author>KUREK</author>
  </authors>
  <commentList>
    <comment ref="L32" authorId="0">
      <text>
        <r>
          <rPr>
            <b/>
            <sz val="10"/>
            <rFont val="Tahoma"/>
            <family val="0"/>
          </rPr>
          <t>KUREK:</t>
        </r>
        <r>
          <rPr>
            <sz val="10"/>
            <rFont val="Tahoma"/>
            <family val="0"/>
          </rPr>
          <t xml:space="preserve">
ESTIMATE</t>
        </r>
      </text>
    </comment>
  </commentList>
</comments>
</file>

<file path=xl/sharedStrings.xml><?xml version="1.0" encoding="utf-8"?>
<sst xmlns="http://schemas.openxmlformats.org/spreadsheetml/2006/main" count="249" uniqueCount="115">
  <si>
    <t>gross measured area</t>
  </si>
  <si>
    <t>non-rentable</t>
  </si>
  <si>
    <t>floor rentable</t>
  </si>
  <si>
    <t>building common</t>
  </si>
  <si>
    <t>floor common</t>
  </si>
  <si>
    <t>standardware</t>
  </si>
  <si>
    <t>useable office</t>
  </si>
  <si>
    <t>ya</t>
  </si>
  <si>
    <t>post - csp</t>
  </si>
  <si>
    <t>pre - csp</t>
  </si>
  <si>
    <t>vacant</t>
  </si>
  <si>
    <t>dajd/cc</t>
  </si>
  <si>
    <t xml:space="preserve"> </t>
  </si>
  <si>
    <t>so/photo</t>
  </si>
  <si>
    <t>des/hr (storage)</t>
  </si>
  <si>
    <t>fmd (storage)</t>
  </si>
  <si>
    <t>approx sq ft</t>
  </si>
  <si>
    <t>% of total approx sq ft</t>
  </si>
  <si>
    <t>% of std useable sq ft</t>
  </si>
  <si>
    <t>dc/prob</t>
  </si>
  <si>
    <t>des/ocre</t>
  </si>
  <si>
    <t>des/hr</t>
  </si>
  <si>
    <t>dph</t>
  </si>
  <si>
    <t>exec/adr</t>
  </si>
  <si>
    <t>rjc/csp</t>
  </si>
  <si>
    <t>fmd</t>
  </si>
  <si>
    <t>des/risk</t>
  </si>
  <si>
    <t>cncl/hear</t>
  </si>
  <si>
    <t>brb</t>
  </si>
  <si>
    <t>conf space</t>
  </si>
  <si>
    <t>dot/transit</t>
  </si>
  <si>
    <t>conversion for stacks 1-10-04</t>
  </si>
  <si>
    <t>floor</t>
  </si>
  <si>
    <t>YA</t>
  </si>
  <si>
    <t>DES/HR</t>
  </si>
  <si>
    <t>DES/FMD</t>
  </si>
  <si>
    <t>TOTAL</t>
  </si>
  <si>
    <t>dot/hr</t>
  </si>
  <si>
    <t>ASSESSOR</t>
  </si>
  <si>
    <t>DES/ITS - DISTRIBUTION</t>
  </si>
  <si>
    <t>DES/FINANCE - STORAGE</t>
  </si>
  <si>
    <t>DES/REALS - STORAGE</t>
  </si>
  <si>
    <t>DES/FMD - STORAGE</t>
  </si>
  <si>
    <t>DES/FMD - SHOPS</t>
  </si>
  <si>
    <t>US MAIL</t>
  </si>
  <si>
    <t>DPH/PREVENTION</t>
  </si>
  <si>
    <t>CONFERENCE</t>
  </si>
  <si>
    <t>LOBBY/LOADING DOCK/BLDG MECH</t>
  </si>
  <si>
    <t>DES/FMD/CIP</t>
  </si>
  <si>
    <t>DES/REALS</t>
  </si>
  <si>
    <t>DES/FINANCE</t>
  </si>
  <si>
    <t>WASHINGTON STATE AUDITOR</t>
  </si>
  <si>
    <t>DES/FMD/RES</t>
  </si>
  <si>
    <t>CNCL/EQUAL</t>
  </si>
  <si>
    <t>CNCL/OMBUD/TAX</t>
  </si>
  <si>
    <t>TO BE ASSIGNED</t>
  </si>
  <si>
    <t>PAO</t>
  </si>
  <si>
    <t>to be assigned</t>
  </si>
  <si>
    <t>SHELTER</t>
  </si>
  <si>
    <t>WA ST AUDITOR</t>
  </si>
  <si>
    <t>FINANCE</t>
  </si>
  <si>
    <t>FACILITIES MANAGEMENT</t>
  </si>
  <si>
    <t>ITS</t>
  </si>
  <si>
    <t>RECORDS, ELECTIONS, &amp; LICENSING</t>
  </si>
  <si>
    <t>PUBLIC HEALTH</t>
  </si>
  <si>
    <t>HUMAN RESOURCES</t>
  </si>
  <si>
    <t>BOARD OF EQUALIZATION</t>
  </si>
  <si>
    <t>TAX ADVISOR</t>
  </si>
  <si>
    <t>PROSECUTING ATTORNEY</t>
  </si>
  <si>
    <t>RESERVED FOR COMMUNITY CORRECTIONS</t>
  </si>
  <si>
    <t>PHOTO LAB</t>
  </si>
  <si>
    <t>COMMUNITY CORRECTIONS</t>
  </si>
  <si>
    <t>OFFICE OF CIVIL RIGHTS ENFORCEMENT</t>
  </si>
  <si>
    <t>ALTERNATE DISPUTE RESOLUTION</t>
  </si>
  <si>
    <t>RISK MANAGEMENT</t>
  </si>
  <si>
    <t>HEARING EXAMINER</t>
  </si>
  <si>
    <t>TRANSIT</t>
  </si>
  <si>
    <t>basement</t>
  </si>
  <si>
    <t>1A</t>
  </si>
  <si>
    <t>DISTRICT COURT</t>
  </si>
  <si>
    <t>JUDICIAL ADMIN</t>
  </si>
  <si>
    <t>SHERIFF</t>
  </si>
  <si>
    <t>SUPERIOR COURT</t>
  </si>
  <si>
    <t>JURY ASSEMBLY</t>
  </si>
  <si>
    <t>AFIS</t>
  </si>
  <si>
    <t>ADULT &amp; JUVENILE DETENTION</t>
  </si>
  <si>
    <t>PRESS ROOM</t>
  </si>
  <si>
    <t>TITLE COMPANIES</t>
  </si>
  <si>
    <t>LAW LIBRARY</t>
  </si>
  <si>
    <t>COUNCIL</t>
  </si>
  <si>
    <t>A</t>
  </si>
  <si>
    <t>B</t>
  </si>
  <si>
    <t>PARKING</t>
  </si>
  <si>
    <t>RETAIL</t>
  </si>
  <si>
    <t>DEPARTMENT OF NATURAL RESOURCES</t>
  </si>
  <si>
    <t>DEPARTMENT OF TRANSPORTATION</t>
  </si>
  <si>
    <t>LOBBY</t>
  </si>
  <si>
    <t>TRAINING ROOM</t>
  </si>
  <si>
    <t>TRAINING</t>
  </si>
  <si>
    <t>LOBBY &amp; MECHANICAL</t>
  </si>
  <si>
    <t>LOADING DOCK</t>
  </si>
  <si>
    <t>DEPARTMENT OF NATURAL RESOURCES (DNRP)</t>
  </si>
  <si>
    <t>DEPARTMENT OF TRANSPORTATION (DOT)</t>
  </si>
  <si>
    <t>RECORDS, ELECTIONS, &amp; LICENSING (REALS)</t>
  </si>
  <si>
    <t>HUMAN RESOURCES (HR)</t>
  </si>
  <si>
    <t>FACILITIES MANAGEMENT (FMD)</t>
  </si>
  <si>
    <t>ADULT &amp; JUVENILE DETENTION (DAJD)</t>
  </si>
  <si>
    <t>JUDICIAL ADMINISTRATION (DJA)</t>
  </si>
  <si>
    <t>PROSECUTING ATTORNEY (PAO)</t>
  </si>
  <si>
    <t>DISTRICT COURT (DC)</t>
  </si>
  <si>
    <t>SUPERIOR COURT (SUPCT)</t>
  </si>
  <si>
    <t>SHERIFF (SO)</t>
  </si>
  <si>
    <t>PUBLIC HEALTH (DPH)</t>
  </si>
  <si>
    <t>BOUNDARY REVIEW BOARD (BRB)</t>
  </si>
  <si>
    <t>SHARED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</si>
</sst>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.5"/>
      <name val="Arial"/>
      <family val="0"/>
    </font>
    <font>
      <b/>
      <sz val="9.25"/>
      <name val="Arial"/>
      <family val="2"/>
    </font>
    <font>
      <b/>
      <sz val="10.25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.25"/>
      <color indexed="9"/>
      <name val="Arial"/>
      <family val="2"/>
    </font>
    <font>
      <b/>
      <sz val="8"/>
      <color indexed="9"/>
      <name val="Arial"/>
      <family val="2"/>
    </font>
    <font>
      <sz val="12"/>
      <name val="Arial"/>
      <family val="0"/>
    </font>
    <font>
      <b/>
      <sz val="13.75"/>
      <name val="Arial"/>
      <family val="0"/>
    </font>
    <font>
      <b/>
      <sz val="1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" fontId="0" fillId="0" borderId="0" xfId="0" applyNumberFormat="1" applyAlignment="1">
      <alignment/>
    </xf>
    <xf numFmtId="9" fontId="0" fillId="0" borderId="0" xfId="2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2" borderId="1" xfId="0" applyFill="1" applyBorder="1" applyAlignment="1">
      <alignment/>
    </xf>
    <xf numFmtId="9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9" fontId="0" fillId="0" borderId="0" xfId="2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2" borderId="2" xfId="0" applyFill="1" applyBorder="1" applyAlignment="1">
      <alignment/>
    </xf>
    <xf numFmtId="9" fontId="0" fillId="0" borderId="2" xfId="21" applyFont="1" applyFill="1" applyBorder="1" applyAlignment="1">
      <alignment/>
    </xf>
    <xf numFmtId="1" fontId="0" fillId="0" borderId="2" xfId="0" applyNumberFormat="1" applyFill="1" applyBorder="1" applyAlignment="1">
      <alignment/>
    </xf>
    <xf numFmtId="9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9" fontId="0" fillId="0" borderId="1" xfId="21" applyFont="1" applyFill="1" applyBorder="1" applyAlignment="1">
      <alignment/>
    </xf>
    <xf numFmtId="1" fontId="0" fillId="0" borderId="1" xfId="0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1" fontId="0" fillId="0" borderId="2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1" fontId="0" fillId="2" borderId="0" xfId="0" applyNumberFormat="1" applyFill="1" applyAlignment="1">
      <alignment/>
    </xf>
    <xf numFmtId="9" fontId="0" fillId="2" borderId="0" xfId="21" applyFill="1" applyAlignment="1">
      <alignment/>
    </xf>
    <xf numFmtId="1" fontId="0" fillId="0" borderId="0" xfId="21" applyNumberFormat="1" applyAlignment="1">
      <alignment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wrapText="1"/>
    </xf>
    <xf numFmtId="1" fontId="0" fillId="2" borderId="5" xfId="0" applyNumberFormat="1" applyFill="1" applyBorder="1" applyAlignment="1">
      <alignment/>
    </xf>
    <xf numFmtId="9" fontId="0" fillId="2" borderId="5" xfId="21" applyFill="1" applyBorder="1" applyAlignment="1">
      <alignment/>
    </xf>
    <xf numFmtId="0" fontId="0" fillId="2" borderId="5" xfId="0" applyFill="1" applyBorder="1" applyAlignment="1">
      <alignment/>
    </xf>
    <xf numFmtId="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/>
    </xf>
    <xf numFmtId="1" fontId="0" fillId="2" borderId="1" xfId="0" applyNumberFormat="1" applyFill="1" applyBorder="1" applyAlignment="1">
      <alignment/>
    </xf>
    <xf numFmtId="1" fontId="0" fillId="2" borderId="6" xfId="0" applyNumberFormat="1" applyFill="1" applyBorder="1" applyAlignment="1">
      <alignment/>
    </xf>
    <xf numFmtId="9" fontId="0" fillId="0" borderId="0" xfId="21" applyFont="1" applyAlignment="1">
      <alignment/>
    </xf>
    <xf numFmtId="9" fontId="0" fillId="0" borderId="0" xfId="0" applyNumberFormat="1" applyFill="1" applyBorder="1" applyAlignment="1">
      <alignment/>
    </xf>
    <xf numFmtId="1" fontId="0" fillId="0" borderId="1" xfId="21" applyNumberFormat="1" applyBorder="1" applyAlignment="1">
      <alignment/>
    </xf>
    <xf numFmtId="9" fontId="0" fillId="2" borderId="1" xfId="21" applyFill="1" applyBorder="1" applyAlignment="1">
      <alignment/>
    </xf>
    <xf numFmtId="9" fontId="0" fillId="2" borderId="6" xfId="21" applyFill="1" applyBorder="1" applyAlignment="1">
      <alignment/>
    </xf>
    <xf numFmtId="9" fontId="0" fillId="0" borderId="1" xfId="21" applyFont="1" applyBorder="1" applyAlignment="1">
      <alignment/>
    </xf>
    <xf numFmtId="9" fontId="0" fillId="0" borderId="1" xfId="0" applyNumberFormat="1" applyFill="1" applyBorder="1" applyAlignment="1">
      <alignment/>
    </xf>
    <xf numFmtId="0" fontId="4" fillId="0" borderId="2" xfId="0" applyFont="1" applyBorder="1" applyAlignment="1">
      <alignment/>
    </xf>
    <xf numFmtId="1" fontId="0" fillId="2" borderId="2" xfId="0" applyNumberFormat="1" applyFill="1" applyBorder="1" applyAlignment="1">
      <alignment/>
    </xf>
    <xf numFmtId="1" fontId="0" fillId="2" borderId="7" xfId="0" applyNumberFormat="1" applyFill="1" applyBorder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1" fontId="1" fillId="0" borderId="0" xfId="0" applyNumberFormat="1" applyFont="1" applyBorder="1" applyAlignment="1">
      <alignment wrapText="1"/>
    </xf>
    <xf numFmtId="1" fontId="0" fillId="0" borderId="0" xfId="0" applyNumberFormat="1" applyAlignment="1">
      <alignment wrapText="1"/>
    </xf>
    <xf numFmtId="9" fontId="0" fillId="0" borderId="2" xfId="0" applyNumberFormat="1" applyFill="1" applyBorder="1" applyAlignment="1">
      <alignment/>
    </xf>
    <xf numFmtId="0" fontId="0" fillId="0" borderId="0" xfId="0" applyFont="1" applyAlignment="1">
      <alignment wrapText="1"/>
    </xf>
    <xf numFmtId="9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10" fontId="0" fillId="0" borderId="1" xfId="0" applyNumberFormat="1" applyBorder="1" applyAlignment="1">
      <alignment/>
    </xf>
    <xf numFmtId="0" fontId="0" fillId="3" borderId="0" xfId="0" applyFill="1" applyAlignment="1">
      <alignment wrapText="1"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0" fontId="0" fillId="3" borderId="2" xfId="0" applyFill="1" applyBorder="1" applyAlignment="1">
      <alignment/>
    </xf>
    <xf numFmtId="1" fontId="0" fillId="3" borderId="0" xfId="0" applyNumberFormat="1" applyFill="1" applyAlignment="1">
      <alignment wrapText="1"/>
    </xf>
    <xf numFmtId="1" fontId="0" fillId="3" borderId="1" xfId="0" applyNumberFormat="1" applyFill="1" applyBorder="1" applyAlignment="1">
      <alignment/>
    </xf>
    <xf numFmtId="1" fontId="0" fillId="3" borderId="2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1" fontId="0" fillId="3" borderId="0" xfId="0" applyNumberFormat="1" applyFont="1" applyFill="1" applyAlignment="1">
      <alignment wrapText="1"/>
    </xf>
    <xf numFmtId="1" fontId="0" fillId="3" borderId="0" xfId="0" applyNumberFormat="1" applyFont="1" applyFill="1" applyAlignment="1">
      <alignment/>
    </xf>
    <xf numFmtId="1" fontId="0" fillId="3" borderId="1" xfId="0" applyNumberFormat="1" applyFont="1" applyFill="1" applyBorder="1" applyAlignment="1">
      <alignment/>
    </xf>
    <xf numFmtId="1" fontId="0" fillId="3" borderId="2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chartsheet" Target="chartsheets/sheet3.xml" /><Relationship Id="rId12" Type="http://schemas.openxmlformats.org/officeDocument/2006/relationships/chartsheet" Target="chartsheets/sheet4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Courthouse - Post Seismic
588,000 gross square feet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10"/>
      <c:rAngAx val="1"/>
    </c:view3D>
    <c:plotArea>
      <c:layout>
        <c:manualLayout>
          <c:xMode val="edge"/>
          <c:yMode val="edge"/>
          <c:x val="0.00875"/>
          <c:y val="0.131"/>
          <c:w val="0.771"/>
          <c:h val="0.854"/>
        </c:manualLayout>
      </c:layout>
      <c:bar3DChart>
        <c:barDir val="bar"/>
        <c:grouping val="stacked"/>
        <c:varyColors val="0"/>
        <c:ser>
          <c:idx val="1"/>
          <c:order val="0"/>
          <c:tx>
            <c:strRef>
              <c:f>'courthouse post-csp data'!$B$1</c:f>
              <c:strCache>
                <c:ptCount val="1"/>
                <c:pt idx="0">
                  <c:v>ITS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'courthouse post-csp data'!$A$2:$A$15</c:f>
              <c:strCache>
                <c:ptCount val="14"/>
                <c:pt idx="0">
                  <c:v>basement</c:v>
                </c:pt>
                <c:pt idx="1">
                  <c:v>1</c:v>
                </c:pt>
                <c:pt idx="2">
                  <c:v>1A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cat>
          <c:val>
            <c:numRef>
              <c:f>'courthouse post-csp data'!$B$2:$B$15</c:f>
              <c:numCache>
                <c:ptCount val="14"/>
                <c:pt idx="0">
                  <c:v>500.53884299221176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'courthouse post-csp data'!$C$1</c:f>
              <c:strCache>
                <c:ptCount val="1"/>
                <c:pt idx="0">
                  <c:v>LOBBY &amp; MECHANICAL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'courthouse post-csp data'!$A$2:$A$15</c:f>
              <c:strCache>
                <c:ptCount val="14"/>
                <c:pt idx="0">
                  <c:v>basement</c:v>
                </c:pt>
                <c:pt idx="1">
                  <c:v>1</c:v>
                </c:pt>
                <c:pt idx="2">
                  <c:v>1A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cat>
          <c:val>
            <c:numRef>
              <c:f>'courthouse post-csp data'!$C$2:$C$15</c:f>
              <c:numCache>
                <c:ptCount val="14"/>
                <c:pt idx="0">
                  <c:v>11888.753999526743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'courthouse post-csp data'!$D$1</c:f>
              <c:strCache>
                <c:ptCount val="1"/>
                <c:pt idx="0">
                  <c:v>LOADING DOCK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LOADING
DOCK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'courthouse post-csp data'!$A$2:$A$15</c:f>
              <c:strCache>
                <c:ptCount val="14"/>
                <c:pt idx="0">
                  <c:v>basement</c:v>
                </c:pt>
                <c:pt idx="1">
                  <c:v>1</c:v>
                </c:pt>
                <c:pt idx="2">
                  <c:v>1A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cat>
          <c:val>
            <c:numRef>
              <c:f>'courthouse post-csp data'!$D$2:$D$15</c:f>
              <c:numCache>
                <c:ptCount val="14"/>
                <c:pt idx="2">
                  <c:v>3110.85783245617</c:v>
                </c:pt>
              </c:numCache>
            </c:numRef>
          </c:val>
          <c:shape val="box"/>
        </c:ser>
        <c:ser>
          <c:idx val="4"/>
          <c:order val="3"/>
          <c:tx>
            <c:strRef>
              <c:f>'courthouse post-csp data'!#REF!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'courthouse post-csp data'!$A$2:$A$15</c:f>
              <c:strCache>
                <c:ptCount val="14"/>
                <c:pt idx="0">
                  <c:v>basement</c:v>
                </c:pt>
                <c:pt idx="1">
                  <c:v>1</c:v>
                </c:pt>
                <c:pt idx="2">
                  <c:v>1A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cat>
          <c:val>
            <c:numRef>
              <c:f>'courthouse post-csp data'!#REF!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4"/>
          <c:tx>
            <c:strRef>
              <c:f>'courthouse post-csp data'!$E$1</c:f>
              <c:strCache>
                <c:ptCount val="1"/>
                <c:pt idx="0">
                  <c:v>FACILITIES MANAGEMENT (FMD)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FMD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FMD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'courthouse post-csp data'!$A$2:$A$15</c:f>
              <c:strCache>
                <c:ptCount val="14"/>
                <c:pt idx="0">
                  <c:v>basement</c:v>
                </c:pt>
                <c:pt idx="1">
                  <c:v>1</c:v>
                </c:pt>
                <c:pt idx="2">
                  <c:v>1A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cat>
          <c:val>
            <c:numRef>
              <c:f>'courthouse post-csp data'!$E$2:$E$15</c:f>
              <c:numCache>
                <c:ptCount val="14"/>
                <c:pt idx="0">
                  <c:v>21979.54711468225</c:v>
                </c:pt>
                <c:pt idx="1">
                  <c:v>1487.9788961677812</c:v>
                </c:pt>
                <c:pt idx="2">
                  <c:v>4885.298291486484</c:v>
                </c:pt>
              </c:numCache>
            </c:numRef>
          </c:val>
          <c:shape val="box"/>
        </c:ser>
        <c:ser>
          <c:idx val="6"/>
          <c:order val="5"/>
          <c:tx>
            <c:strRef>
              <c:f>'courthouse post-csp data'!$F$1</c:f>
              <c:strCache>
                <c:ptCount val="1"/>
                <c:pt idx="0">
                  <c:v>SUPERIOR COURT (SUPCT)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SUPCT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SUPCT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'courthouse post-csp data'!$A$2:$A$15</c:f>
              <c:strCache>
                <c:ptCount val="14"/>
                <c:pt idx="0">
                  <c:v>basement</c:v>
                </c:pt>
                <c:pt idx="1">
                  <c:v>1</c:v>
                </c:pt>
                <c:pt idx="2">
                  <c:v>1A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cat>
          <c:val>
            <c:numRef>
              <c:f>'courthouse post-csp data'!$F$2:$F$15</c:f>
              <c:numCache>
                <c:ptCount val="14"/>
                <c:pt idx="0">
                  <c:v>296.7816026913857</c:v>
                </c:pt>
                <c:pt idx="3">
                  <c:v>31244.598767624135</c:v>
                </c:pt>
                <c:pt idx="4">
                  <c:v>16533.731858232157</c:v>
                </c:pt>
                <c:pt idx="8">
                  <c:v>36810.84443604523</c:v>
                </c:pt>
                <c:pt idx="9">
                  <c:v>42500</c:v>
                </c:pt>
                <c:pt idx="10">
                  <c:v>42500</c:v>
                </c:pt>
                <c:pt idx="11">
                  <c:v>3443.5123474262973</c:v>
                </c:pt>
                <c:pt idx="13">
                  <c:v>2709.3034940329335</c:v>
                </c:pt>
              </c:numCache>
            </c:numRef>
          </c:val>
          <c:shape val="box"/>
        </c:ser>
        <c:ser>
          <c:idx val="7"/>
          <c:order val="6"/>
          <c:tx>
            <c:strRef>
              <c:f>'courthouse post-csp data'!$G$1</c:f>
              <c:strCache>
                <c:ptCount val="1"/>
                <c:pt idx="0">
                  <c:v>DISTRICT COURT (DC)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DC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DC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'courthouse post-csp data'!$A$2:$A$15</c:f>
              <c:strCache>
                <c:ptCount val="14"/>
                <c:pt idx="0">
                  <c:v>basement</c:v>
                </c:pt>
                <c:pt idx="1">
                  <c:v>1</c:v>
                </c:pt>
                <c:pt idx="2">
                  <c:v>1A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cat>
          <c:val>
            <c:numRef>
              <c:f>'courthouse post-csp data'!$G$2:$G$15</c:f>
              <c:numCache>
                <c:ptCount val="14"/>
                <c:pt idx="0">
                  <c:v>715.4458893610016</c:v>
                </c:pt>
                <c:pt idx="4">
                  <c:v>25300.443548628624</c:v>
                </c:pt>
                <c:pt idx="11">
                  <c:v>3720.932726040675</c:v>
                </c:pt>
              </c:numCache>
            </c:numRef>
          </c:val>
          <c:shape val="box"/>
        </c:ser>
        <c:ser>
          <c:idx val="8"/>
          <c:order val="7"/>
          <c:tx>
            <c:strRef>
              <c:f>'courthouse post-csp data'!$H$1</c:f>
              <c:strCache>
                <c:ptCount val="1"/>
                <c:pt idx="0">
                  <c:v>JUDICIAL ADMINISTRATION (DJA)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DJA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'courthouse post-csp data'!$A$2:$A$15</c:f>
              <c:strCache>
                <c:ptCount val="14"/>
                <c:pt idx="0">
                  <c:v>basement</c:v>
                </c:pt>
                <c:pt idx="1">
                  <c:v>1</c:v>
                </c:pt>
                <c:pt idx="2">
                  <c:v>1A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cat>
          <c:val>
            <c:numRef>
              <c:f>'courthouse post-csp data'!$H$2:$H$15</c:f>
              <c:numCache>
                <c:ptCount val="14"/>
                <c:pt idx="0">
                  <c:v>2787.014269694132</c:v>
                </c:pt>
                <c:pt idx="7">
                  <c:v>26291.306776977974</c:v>
                </c:pt>
              </c:numCache>
            </c:numRef>
          </c:val>
          <c:shape val="box"/>
        </c:ser>
        <c:ser>
          <c:idx val="9"/>
          <c:order val="8"/>
          <c:tx>
            <c:strRef>
              <c:f>'courthouse post-csp data'!$I$1</c:f>
              <c:strCache>
                <c:ptCount val="1"/>
                <c:pt idx="0">
                  <c:v>SHERIFF (SO)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SO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'courthouse post-csp data'!$A$2:$A$15</c:f>
              <c:strCache>
                <c:ptCount val="14"/>
                <c:pt idx="0">
                  <c:v>basement</c:v>
                </c:pt>
                <c:pt idx="1">
                  <c:v>1</c:v>
                </c:pt>
                <c:pt idx="2">
                  <c:v>1A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cat>
          <c:val>
            <c:numRef>
              <c:f>'courthouse post-csp data'!$I$2:$I$15</c:f>
              <c:numCache>
                <c:ptCount val="14"/>
                <c:pt idx="0">
                  <c:v>3503.7719009454827</c:v>
                </c:pt>
                <c:pt idx="1">
                  <c:v>35016.39718440667</c:v>
                </c:pt>
                <c:pt idx="2">
                  <c:v>24757.392570741104</c:v>
                </c:pt>
              </c:numCache>
            </c:numRef>
          </c:val>
          <c:shape val="box"/>
        </c:ser>
        <c:ser>
          <c:idx val="10"/>
          <c:order val="9"/>
          <c:tx>
            <c:strRef>
              <c:f>'courthouse post-csp data'!$J$1</c:f>
              <c:strCache>
                <c:ptCount val="1"/>
                <c:pt idx="0">
                  <c:v>ADULT &amp; JUVENILE DETENTION (DAJD)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FFCC"/>
              </a:solidFill>
            </c:spPr>
          </c:dP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DAJD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DAJD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'courthouse post-csp data'!$A$2:$A$15</c:f>
              <c:strCache>
                <c:ptCount val="14"/>
                <c:pt idx="0">
                  <c:v>basement</c:v>
                </c:pt>
                <c:pt idx="1">
                  <c:v>1</c:v>
                </c:pt>
                <c:pt idx="2">
                  <c:v>1A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cat>
          <c:val>
            <c:numRef>
              <c:f>'courthouse post-csp data'!$J$2:$J$15</c:f>
              <c:numCache>
                <c:ptCount val="14"/>
                <c:pt idx="3">
                  <c:v>9271.19939318699</c:v>
                </c:pt>
                <c:pt idx="11">
                  <c:v>23086.04170419358</c:v>
                </c:pt>
                <c:pt idx="12">
                  <c:v>17200</c:v>
                </c:pt>
                <c:pt idx="13">
                  <c:v>8059.354662985677</c:v>
                </c:pt>
              </c:numCache>
            </c:numRef>
          </c:val>
          <c:shape val="box"/>
        </c:ser>
        <c:ser>
          <c:idx val="11"/>
          <c:order val="10"/>
          <c:tx>
            <c:strRef>
              <c:f>'courthouse post-csp data'!$K$1</c:f>
              <c:strCache>
                <c:ptCount val="1"/>
                <c:pt idx="0">
                  <c:v>PROSECUTING ATTORNEY (PAO)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PAO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PAO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PAO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'courthouse post-csp data'!$A$2:$A$15</c:f>
              <c:strCache>
                <c:ptCount val="14"/>
                <c:pt idx="0">
                  <c:v>basement</c:v>
                </c:pt>
                <c:pt idx="1">
                  <c:v>1</c:v>
                </c:pt>
                <c:pt idx="2">
                  <c:v>1A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cat>
          <c:val>
            <c:numRef>
              <c:f>'courthouse post-csp data'!$K$2:$K$15</c:f>
              <c:numCache>
                <c:ptCount val="14"/>
                <c:pt idx="0">
                  <c:v>828.1463801067911</c:v>
                </c:pt>
                <c:pt idx="3">
                  <c:v>1984.2018391888705</c:v>
                </c:pt>
                <c:pt idx="5">
                  <c:v>42500</c:v>
                </c:pt>
                <c:pt idx="6">
                  <c:v>42500</c:v>
                </c:pt>
                <c:pt idx="8">
                  <c:v>5689.15556395477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'courthouse post-csp data'!$L$1</c:f>
              <c:strCache>
                <c:ptCount val="1"/>
                <c:pt idx="0">
                  <c:v>COUNCIL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'courthouse post-csp data'!$A$2:$A$15</c:f>
              <c:strCache>
                <c:ptCount val="14"/>
                <c:pt idx="0">
                  <c:v>basement</c:v>
                </c:pt>
                <c:pt idx="1">
                  <c:v>1</c:v>
                </c:pt>
                <c:pt idx="2">
                  <c:v>1A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cat>
          <c:val>
            <c:numRef>
              <c:f>'courthouse post-csp data'!$L$2:$L$15</c:f>
              <c:numCache>
                <c:ptCount val="14"/>
                <c:pt idx="11">
                  <c:v>12249.513222339448</c:v>
                </c:pt>
                <c:pt idx="13">
                  <c:v>31731.341842981397</c:v>
                </c:pt>
              </c:numCache>
            </c:numRef>
          </c:val>
          <c:shape val="box"/>
        </c:ser>
        <c:ser>
          <c:idx val="13"/>
          <c:order val="12"/>
          <c:tx>
            <c:strRef>
              <c:f>'courthouse post-csp data'!$M$1</c:f>
              <c:strCache>
                <c:ptCount val="1"/>
                <c:pt idx="0">
                  <c:v>PRESS ROOM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PRESS
ROOM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'courthouse post-csp data'!$A$2:$A$15</c:f>
              <c:strCache>
                <c:ptCount val="14"/>
                <c:pt idx="0">
                  <c:v>basement</c:v>
                </c:pt>
                <c:pt idx="1">
                  <c:v>1</c:v>
                </c:pt>
                <c:pt idx="2">
                  <c:v>1A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cat>
          <c:val>
            <c:numRef>
              <c:f>'courthouse post-csp data'!$M$2:$M$15</c:f>
              <c:numCache>
                <c:ptCount val="14"/>
                <c:pt idx="4">
                  <c:v>665.8245931392223</c:v>
                </c:pt>
              </c:numCache>
            </c:numRef>
          </c:val>
          <c:shape val="box"/>
        </c:ser>
        <c:ser>
          <c:idx val="14"/>
          <c:order val="13"/>
          <c:tx>
            <c:strRef>
              <c:f>'courthouse post-csp data'!$N$1</c:f>
              <c:strCache>
                <c:ptCount val="1"/>
                <c:pt idx="0">
                  <c:v>TITLE COMPANIES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TITLE
CO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'courthouse post-csp data'!$A$2:$A$15</c:f>
              <c:strCache>
                <c:ptCount val="14"/>
                <c:pt idx="0">
                  <c:v>basement</c:v>
                </c:pt>
                <c:pt idx="1">
                  <c:v>1</c:v>
                </c:pt>
                <c:pt idx="2">
                  <c:v>1A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cat>
          <c:val>
            <c:numRef>
              <c:f>'courthouse post-csp data'!$N$2:$N$15</c:f>
              <c:numCache>
                <c:ptCount val="14"/>
                <c:pt idx="7">
                  <c:v>1328.3985767132913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'courthouse post-csp data'!$O$1</c:f>
              <c:strCache>
                <c:ptCount val="1"/>
                <c:pt idx="0">
                  <c:v>LAW LIBRARY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'courthouse post-csp data'!$A$2:$A$15</c:f>
              <c:strCache>
                <c:ptCount val="14"/>
                <c:pt idx="0">
                  <c:v>basement</c:v>
                </c:pt>
                <c:pt idx="1">
                  <c:v>1</c:v>
                </c:pt>
                <c:pt idx="2">
                  <c:v>1A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cat>
          <c:val>
            <c:numRef>
              <c:f>'courthouse post-csp data'!$O$2:$O$15</c:f>
              <c:numCache>
                <c:ptCount val="14"/>
                <c:pt idx="7">
                  <c:v>14880.294646308741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'courthouse post-csp data'!$P$1</c:f>
              <c:strCache>
                <c:ptCount val="1"/>
                <c:pt idx="0">
                  <c:v>JURY ASSEMBLY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'courthouse post-csp data'!$A$2:$A$15</c:f>
              <c:strCache>
                <c:ptCount val="14"/>
                <c:pt idx="0">
                  <c:v>basement</c:v>
                </c:pt>
                <c:pt idx="1">
                  <c:v>1</c:v>
                </c:pt>
                <c:pt idx="2">
                  <c:v>1A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cat>
          <c:val>
            <c:numRef>
              <c:f>'courthouse post-csp data'!$P$2:$P$15</c:f>
              <c:numCache>
                <c:ptCount val="14"/>
                <c:pt idx="1">
                  <c:v>5995.623919425548</c:v>
                </c:pt>
                <c:pt idx="2">
                  <c:v>7246.451305316244</c:v>
                </c:pt>
              </c:numCache>
            </c:numRef>
          </c:val>
          <c:shape val="box"/>
        </c:ser>
        <c:overlap val="100"/>
        <c:gapWidth val="10"/>
        <c:gapDepth val="70"/>
        <c:shape val="box"/>
        <c:axId val="38578992"/>
        <c:axId val="11666609"/>
      </c:bar3DChart>
      <c:catAx>
        <c:axId val="38578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1666609"/>
        <c:crosses val="autoZero"/>
        <c:auto val="1"/>
        <c:lblOffset val="100"/>
        <c:noMultiLvlLbl val="0"/>
      </c:catAx>
      <c:valAx>
        <c:axId val="1166660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85789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88"/>
          <c:y val="0.02975"/>
          <c:w val="0.207"/>
          <c:h val="0.937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Yesler Building - Post Courthouse Seismic
104,000 gross square feet</a:t>
            </a:r>
          </a:p>
        </c:rich>
      </c:tx>
      <c:layout/>
      <c:spPr>
        <a:noFill/>
        <a:ln>
          <a:noFill/>
        </a:ln>
      </c:spPr>
    </c:title>
    <c:view3D>
      <c:rotX val="13"/>
      <c:rotY val="28"/>
      <c:depthPercent val="210"/>
      <c:rAngAx val="1"/>
    </c:view3D>
    <c:plotArea>
      <c:layout>
        <c:manualLayout>
          <c:xMode val="edge"/>
          <c:yMode val="edge"/>
          <c:x val="0"/>
          <c:y val="0.13975"/>
          <c:w val="0.7125"/>
          <c:h val="0.84475"/>
        </c:manualLayout>
      </c:layout>
      <c:bar3DChart>
        <c:barDir val="bar"/>
        <c:grouping val="stacked"/>
        <c:varyColors val="0"/>
        <c:ser>
          <c:idx val="2"/>
          <c:order val="0"/>
          <c:tx>
            <c:strRef>
              <c:f>'yesler post-csp data'!$B$1</c:f>
              <c:strCache>
                <c:ptCount val="1"/>
                <c:pt idx="0">
                  <c:v>RESERVED FOR COMMUNITY CORRECTIONS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'yesler post-csp data'!$A$2:$A$9</c:f>
              <c:strCache>
                <c:ptCount val="8"/>
                <c:pt idx="0">
                  <c:v>YA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strCache>
            </c:strRef>
          </c:cat>
          <c:val>
            <c:numRef>
              <c:f>'yesler post-csp data'!$B$2:$B$9</c:f>
              <c:numCache>
                <c:ptCount val="8"/>
                <c:pt idx="0">
                  <c:v>7800</c:v>
                </c:pt>
                <c:pt idx="2">
                  <c:v>0</c:v>
                </c:pt>
              </c:numCache>
            </c:numRef>
          </c:val>
          <c:shape val="box"/>
        </c:ser>
        <c:ser>
          <c:idx val="4"/>
          <c:order val="1"/>
          <c:tx>
            <c:strRef>
              <c:f>'yesler post-csp data'!$C$1</c:f>
              <c:strCache>
                <c:ptCount val="1"/>
                <c:pt idx="0">
                  <c:v>PHOTO LAB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'yesler post-csp data'!$A$2:$A$9</c:f>
              <c:strCache>
                <c:ptCount val="8"/>
                <c:pt idx="0">
                  <c:v>YA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strCache>
            </c:strRef>
          </c:cat>
          <c:val>
            <c:numRef>
              <c:f>'yesler post-csp data'!$C$2:$C$9</c:f>
              <c:numCache>
                <c:ptCount val="8"/>
                <c:pt idx="1">
                  <c:v>3108.699616997994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'yesler post-csp data'!$D$1</c:f>
              <c:strCache>
                <c:ptCount val="1"/>
                <c:pt idx="0">
                  <c:v>COMMUNITY CORRECTIONS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>
                        <a:latin typeface="Arial"/>
                        <a:ea typeface="Arial"/>
                        <a:cs typeface="Arial"/>
                      </a:rPr>
                      <a:t>COMMUNITY
CORRECTIONS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'yesler post-csp data'!$A$2:$A$9</c:f>
              <c:strCache>
                <c:ptCount val="8"/>
                <c:pt idx="0">
                  <c:v>YA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strCache>
            </c:strRef>
          </c:cat>
          <c:val>
            <c:numRef>
              <c:f>'yesler post-csp data'!$D$2:$D$9</c:f>
              <c:numCache>
                <c:ptCount val="8"/>
                <c:pt idx="1">
                  <c:v>10141.893124202079</c:v>
                </c:pt>
                <c:pt idx="4">
                  <c:v>3195.343372850582</c:v>
                </c:pt>
              </c:numCache>
            </c:numRef>
          </c:val>
          <c:shape val="box"/>
        </c:ser>
        <c:ser>
          <c:idx val="5"/>
          <c:order val="3"/>
          <c:tx>
            <c:strRef>
              <c:f>'yesler post-csp data'!$E$1</c:f>
              <c:strCache>
                <c:ptCount val="1"/>
                <c:pt idx="0">
                  <c:v>HUMAN RESOURCES (HR)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HR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HUMAN
RESOURCES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'yesler post-csp data'!$A$2:$A$9</c:f>
              <c:strCache>
                <c:ptCount val="8"/>
                <c:pt idx="0">
                  <c:v>YA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strCache>
            </c:strRef>
          </c:cat>
          <c:val>
            <c:numRef>
              <c:f>'yesler post-csp data'!$E$2:$E$9</c:f>
              <c:numCache>
                <c:ptCount val="8"/>
                <c:pt idx="1">
                  <c:v>188.94765639248587</c:v>
                </c:pt>
                <c:pt idx="2">
                  <c:v>1752.7424690928087</c:v>
                </c:pt>
                <c:pt idx="5">
                  <c:v>7033.157565466083</c:v>
                </c:pt>
              </c:numCache>
            </c:numRef>
          </c:val>
          <c:shape val="box"/>
        </c:ser>
        <c:ser>
          <c:idx val="6"/>
          <c:order val="4"/>
          <c:tx>
            <c:strRef>
              <c:f>'yesler post-csp data'!$F$1</c:f>
              <c:strCache>
                <c:ptCount val="1"/>
                <c:pt idx="0">
                  <c:v>FACILITIES MANAGEMENT (FMD)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FMD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'yesler post-csp data'!$A$2:$A$9</c:f>
              <c:strCache>
                <c:ptCount val="8"/>
                <c:pt idx="0">
                  <c:v>YA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strCache>
            </c:strRef>
          </c:cat>
          <c:val>
            <c:numRef>
              <c:f>'yesler post-csp data'!$F$2:$F$9</c:f>
              <c:numCache>
                <c:ptCount val="8"/>
                <c:pt idx="1">
                  <c:v>560.4596024074411</c:v>
                </c:pt>
              </c:numCache>
            </c:numRef>
          </c:val>
          <c:shape val="box"/>
        </c:ser>
        <c:ser>
          <c:idx val="8"/>
          <c:order val="5"/>
          <c:tx>
            <c:strRef>
              <c:f>'yesler post-csp data'!$G$1</c:f>
              <c:strCache>
                <c:ptCount val="1"/>
                <c:pt idx="0">
                  <c:v>OFFICE OF CIVIL RIGHTS ENFORCEMENT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OFFICE OF
CIVIL RIGHTS
ENFORCEMENT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'yesler post-csp data'!$A$2:$A$9</c:f>
              <c:strCache>
                <c:ptCount val="8"/>
                <c:pt idx="0">
                  <c:v>YA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strCache>
            </c:strRef>
          </c:cat>
          <c:val>
            <c:numRef>
              <c:f>'yesler post-csp data'!$G$2:$G$9</c:f>
              <c:numCache>
                <c:ptCount val="8"/>
                <c:pt idx="2">
                  <c:v>3493.2961866620235</c:v>
                </c:pt>
              </c:numCache>
            </c:numRef>
          </c:val>
          <c:shape val="box"/>
        </c:ser>
        <c:ser>
          <c:idx val="9"/>
          <c:order val="6"/>
          <c:tx>
            <c:strRef>
              <c:f>'yesler post-csp data'!$H$1</c:f>
              <c:strCache>
                <c:ptCount val="1"/>
                <c:pt idx="0">
                  <c:v>PUBLIC HEALTH (DPH)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DPH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'yesler post-csp data'!$A$2:$A$9</c:f>
              <c:strCache>
                <c:ptCount val="8"/>
                <c:pt idx="0">
                  <c:v>YA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strCache>
            </c:strRef>
          </c:cat>
          <c:val>
            <c:numRef>
              <c:f>'yesler post-csp data'!$H$2:$H$9</c:f>
              <c:numCache>
                <c:ptCount val="8"/>
                <c:pt idx="2">
                  <c:v>895.8732369841547</c:v>
                </c:pt>
                <c:pt idx="3">
                  <c:v>14000</c:v>
                </c:pt>
                <c:pt idx="5">
                  <c:v>6966.842434533917</c:v>
                </c:pt>
              </c:numCache>
            </c:numRef>
          </c:val>
          <c:shape val="box"/>
        </c:ser>
        <c:ser>
          <c:idx val="11"/>
          <c:order val="7"/>
          <c:tx>
            <c:strRef>
              <c:f>'yesler post-csp data'!$I$1</c:f>
              <c:strCache>
                <c:ptCount val="1"/>
                <c:pt idx="0">
                  <c:v>ALTERNATE DISPUTE RESOLUTION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latin typeface="Arial"/>
                        <a:ea typeface="Arial"/>
                        <a:cs typeface="Arial"/>
                      </a:rPr>
                      <a:t>ALTERNATE 
DISPUTE
RESOLUTION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'yesler post-csp data'!$A$2:$A$9</c:f>
              <c:strCache>
                <c:ptCount val="8"/>
                <c:pt idx="0">
                  <c:v>YA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strCache>
            </c:strRef>
          </c:cat>
          <c:val>
            <c:numRef>
              <c:f>'yesler post-csp data'!$I$2:$I$9</c:f>
              <c:numCache>
                <c:ptCount val="8"/>
                <c:pt idx="2">
                  <c:v>2502.350687793836</c:v>
                </c:pt>
              </c:numCache>
            </c:numRef>
          </c:val>
          <c:shape val="box"/>
        </c:ser>
        <c:ser>
          <c:idx val="12"/>
          <c:order val="8"/>
          <c:tx>
            <c:strRef>
              <c:f>'yesler post-csp data'!$J$1</c:f>
              <c:strCache>
                <c:ptCount val="1"/>
                <c:pt idx="0">
                  <c:v>TO BE ASSIGNED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'yesler post-csp data'!$A$2:$A$9</c:f>
              <c:strCache>
                <c:ptCount val="8"/>
                <c:pt idx="0">
                  <c:v>YA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strCache>
            </c:strRef>
          </c:cat>
          <c:val>
            <c:numRef>
              <c:f>'yesler post-csp data'!$J$2:$J$9</c:f>
              <c:numCache>
                <c:ptCount val="8"/>
                <c:pt idx="2">
                  <c:v>4580.532822566603</c:v>
                </c:pt>
              </c:numCache>
            </c:numRef>
          </c:val>
          <c:shape val="box"/>
        </c:ser>
        <c:ser>
          <c:idx val="13"/>
          <c:order val="9"/>
          <c:tx>
            <c:strRef>
              <c:f>'yesler post-csp data'!$K$1</c:f>
              <c:strCache>
                <c:ptCount val="1"/>
                <c:pt idx="0">
                  <c:v>RISK MANAGEMENT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'yesler post-csp data'!$A$2:$A$9</c:f>
              <c:strCache>
                <c:ptCount val="8"/>
                <c:pt idx="0">
                  <c:v>YA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strCache>
            </c:strRef>
          </c:cat>
          <c:val>
            <c:numRef>
              <c:f>'yesler post-csp data'!$K$2:$K$9</c:f>
              <c:numCache>
                <c:ptCount val="8"/>
                <c:pt idx="4">
                  <c:v>6782.441525152194</c:v>
                </c:pt>
              </c:numCache>
            </c:numRef>
          </c:val>
          <c:shape val="box"/>
        </c:ser>
        <c:ser>
          <c:idx val="14"/>
          <c:order val="10"/>
          <c:tx>
            <c:strRef>
              <c:f>'yesler post-csp data'!$L$1</c:f>
              <c:strCache>
                <c:ptCount val="1"/>
                <c:pt idx="0">
                  <c:v>HEARING EXAMINER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HEARING
EXAMINER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'yesler post-csp data'!$A$2:$A$9</c:f>
              <c:strCache>
                <c:ptCount val="8"/>
                <c:pt idx="0">
                  <c:v>YA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strCache>
            </c:strRef>
          </c:cat>
          <c:val>
            <c:numRef>
              <c:f>'yesler post-csp data'!$L$2:$L$9</c:f>
              <c:numCache>
                <c:ptCount val="8"/>
                <c:pt idx="4">
                  <c:v>1665.7054362917868</c:v>
                </c:pt>
              </c:numCache>
            </c:numRef>
          </c:val>
          <c:shape val="box"/>
        </c:ser>
        <c:ser>
          <c:idx val="15"/>
          <c:order val="11"/>
          <c:tx>
            <c:strRef>
              <c:f>'yesler post-csp data'!$M$1</c:f>
              <c:strCache>
                <c:ptCount val="1"/>
                <c:pt idx="0">
                  <c:v>BOUNDARY REVIEW BOARD (BRB)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BRB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'yesler post-csp data'!$A$2:$A$9</c:f>
              <c:strCache>
                <c:ptCount val="8"/>
                <c:pt idx="0">
                  <c:v>YA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strCache>
            </c:strRef>
          </c:cat>
          <c:val>
            <c:numRef>
              <c:f>'yesler post-csp data'!$M$2:$M$9</c:f>
              <c:numCache>
                <c:ptCount val="8"/>
                <c:pt idx="4">
                  <c:v>822.3859873972018</c:v>
                </c:pt>
              </c:numCache>
            </c:numRef>
          </c:val>
          <c:shape val="box"/>
        </c:ser>
        <c:ser>
          <c:idx val="0"/>
          <c:order val="12"/>
          <c:tx>
            <c:strRef>
              <c:f>'yesler post-csp data'!$N$1</c:f>
              <c:strCache>
                <c:ptCount val="1"/>
                <c:pt idx="0">
                  <c:v>CONFERENCE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'yesler post-csp data'!$A$2:$A$9</c:f>
              <c:strCache>
                <c:ptCount val="8"/>
                <c:pt idx="0">
                  <c:v>YA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strCache>
            </c:strRef>
          </c:cat>
          <c:val>
            <c:numRef>
              <c:f>'yesler post-csp data'!$N$2:$N$9</c:f>
              <c:numCache>
                <c:ptCount val="8"/>
                <c:pt idx="4">
                  <c:v>1534.1236783082345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'yesler post-csp data'!$O$1</c:f>
              <c:strCache>
                <c:ptCount val="1"/>
                <c:pt idx="0">
                  <c:v>TRANSIT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'yesler post-csp data'!$A$2:$A$9</c:f>
              <c:strCache>
                <c:ptCount val="8"/>
                <c:pt idx="0">
                  <c:v>YA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strCache>
            </c:strRef>
          </c:cat>
          <c:val>
            <c:numRef>
              <c:f>'yesler post-csp data'!$O$2:$O$9</c:f>
              <c:numCache>
                <c:ptCount val="8"/>
                <c:pt idx="2">
                  <c:v>775.2045969005746</c:v>
                </c:pt>
                <c:pt idx="6">
                  <c:v>14000</c:v>
                </c:pt>
                <c:pt idx="7">
                  <c:v>9600</c:v>
                </c:pt>
              </c:numCache>
            </c:numRef>
          </c:val>
          <c:shape val="box"/>
        </c:ser>
        <c:overlap val="100"/>
        <c:gapWidth val="10"/>
        <c:gapDepth val="70"/>
        <c:shape val="box"/>
        <c:axId val="37890618"/>
        <c:axId val="5471243"/>
      </c:bar3DChart>
      <c:catAx>
        <c:axId val="378906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471243"/>
        <c:crosses val="autoZero"/>
        <c:auto val="1"/>
        <c:lblOffset val="100"/>
        <c:noMultiLvlLbl val="0"/>
      </c:catAx>
      <c:valAx>
        <c:axId val="547124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78906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75"/>
          <c:y val="0.04825"/>
          <c:w val="0.2495"/>
          <c:h val="0.931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Kingstreet Center - Post Courthouse Seismic
326,000 gross square feet (excluding parking &amp; retail)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10"/>
      <c:rAngAx val="1"/>
    </c:view3D>
    <c:plotArea>
      <c:layout>
        <c:manualLayout>
          <c:xMode val="edge"/>
          <c:yMode val="edge"/>
          <c:x val="0.0085"/>
          <c:y val="0.10525"/>
          <c:w val="0.757"/>
          <c:h val="0.8795"/>
        </c:manualLayout>
      </c:layout>
      <c:bar3DChart>
        <c:barDir val="bar"/>
        <c:grouping val="stacked"/>
        <c:varyColors val="0"/>
        <c:ser>
          <c:idx val="1"/>
          <c:order val="0"/>
          <c:tx>
            <c:strRef>
              <c:f>'kingstreet post-csp data'!$B$1</c:f>
              <c:strCache>
                <c:ptCount val="1"/>
                <c:pt idx="0">
                  <c:v>PARKING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'kingstreet post-csp data'!$A$2:$A$11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</c:strCache>
            </c:strRef>
          </c:cat>
          <c:val>
            <c:numRef>
              <c:f>'kingstreet post-csp data'!$B$2:$B$11</c:f>
              <c:numCache>
                <c:ptCount val="10"/>
                <c:pt idx="0">
                  <c:v>42904.49575489359</c:v>
                </c:pt>
                <c:pt idx="1">
                  <c:v>65337.79615586654</c:v>
                </c:pt>
                <c:pt idx="2">
                  <c:v>25932.666778290713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'kingstreet post-csp data'!$C$1</c:f>
              <c:strCache>
                <c:ptCount val="1"/>
                <c:pt idx="0">
                  <c:v>RETAIL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'kingstreet post-csp data'!$A$2:$A$11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</c:strCache>
            </c:strRef>
          </c:cat>
          <c:val>
            <c:numRef>
              <c:f>'kingstreet post-csp data'!$C$2:$C$11</c:f>
              <c:numCache>
                <c:ptCount val="10"/>
                <c:pt idx="0">
                  <c:v>4332.003865098209</c:v>
                </c:pt>
                <c:pt idx="2">
                  <c:v>4559.0929748606695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'kingstreet post-csp data'!$D$1</c:f>
              <c:strCache>
                <c:ptCount val="1"/>
                <c:pt idx="0">
                  <c:v>LOBBY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'kingstreet post-csp data'!$A$2:$A$11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</c:strCache>
            </c:strRef>
          </c:cat>
          <c:val>
            <c:numRef>
              <c:f>'kingstreet post-csp data'!$D$2:$D$11</c:f>
              <c:numCache>
                <c:ptCount val="10"/>
                <c:pt idx="2">
                  <c:v>3625.230224603535</c:v>
                </c:pt>
              </c:numCache>
            </c:numRef>
          </c:val>
          <c:shape val="box"/>
        </c:ser>
        <c:ser>
          <c:idx val="4"/>
          <c:order val="3"/>
          <c:tx>
            <c:strRef>
              <c:f>'kingstreet post-csp data'!$E$1</c:f>
              <c:strCache>
                <c:ptCount val="1"/>
                <c:pt idx="0">
                  <c:v>SHARED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'kingstreet post-csp data'!$A$2:$A$11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</c:strCache>
            </c:strRef>
          </c:cat>
          <c:val>
            <c:numRef>
              <c:f>'kingstreet post-csp data'!$E$2:$E$11</c:f>
              <c:numCache>
                <c:ptCount val="10"/>
                <c:pt idx="2">
                  <c:v>5320.520486999784</c:v>
                </c:pt>
              </c:numCache>
            </c:numRef>
          </c:val>
          <c:shape val="box"/>
        </c:ser>
        <c:ser>
          <c:idx val="5"/>
          <c:order val="4"/>
          <c:tx>
            <c:strRef>
              <c:f>'kingstreet post-csp data'!$F$1</c:f>
              <c:strCache>
                <c:ptCount val="1"/>
                <c:pt idx="0">
                  <c:v>TRAINING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'kingstreet post-csp data'!$A$2:$A$11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</c:strCache>
            </c:strRef>
          </c:cat>
          <c:val>
            <c:numRef>
              <c:f>'kingstreet post-csp data'!$F$2:$F$11</c:f>
              <c:numCache>
                <c:ptCount val="10"/>
                <c:pt idx="8">
                  <c:v>835.4095319143611</c:v>
                </c:pt>
              </c:numCache>
            </c:numRef>
          </c:val>
          <c:shape val="box"/>
        </c:ser>
        <c:ser>
          <c:idx val="6"/>
          <c:order val="5"/>
          <c:tx>
            <c:strRef>
              <c:f>'kingstreet post-csp data'!$G$1</c:f>
              <c:strCache>
                <c:ptCount val="1"/>
                <c:pt idx="0">
                  <c:v>CONFERENCE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'kingstreet post-csp data'!$A$2:$A$11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</c:strCache>
            </c:strRef>
          </c:cat>
          <c:val>
            <c:numRef>
              <c:f>'kingstreet post-csp data'!$G$2:$G$11</c:f>
              <c:numCache>
                <c:ptCount val="10"/>
                <c:pt idx="9">
                  <c:v>4966.396755804876</c:v>
                </c:pt>
              </c:numCache>
            </c:numRef>
          </c:val>
          <c:shape val="box"/>
        </c:ser>
        <c:ser>
          <c:idx val="7"/>
          <c:order val="6"/>
          <c:tx>
            <c:strRef>
              <c:f>'kingstreet post-csp data'!$H$1</c:f>
              <c:strCache>
                <c:ptCount val="1"/>
                <c:pt idx="0">
                  <c:v>DEPARTMENT OF NATURAL RESOURCES (DNRP)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DNRP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DNRP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DNRP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'kingstreet post-csp data'!$A$2:$A$11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</c:strCache>
            </c:strRef>
          </c:cat>
          <c:val>
            <c:numRef>
              <c:f>'kingstreet post-csp data'!$H$2:$H$11</c:f>
              <c:numCache>
                <c:ptCount val="10"/>
                <c:pt idx="0">
                  <c:v>3202.3930428232256</c:v>
                </c:pt>
                <c:pt idx="1">
                  <c:v>262.20384413345363</c:v>
                </c:pt>
                <c:pt idx="2">
                  <c:v>3513.825435931782</c:v>
                </c:pt>
                <c:pt idx="6">
                  <c:v>44281</c:v>
                </c:pt>
                <c:pt idx="7">
                  <c:v>44281</c:v>
                </c:pt>
                <c:pt idx="8">
                  <c:v>43445.59046808563</c:v>
                </c:pt>
              </c:numCache>
            </c:numRef>
          </c:val>
          <c:shape val="box"/>
        </c:ser>
        <c:ser>
          <c:idx val="8"/>
          <c:order val="7"/>
          <c:tx>
            <c:strRef>
              <c:f>'kingstreet post-csp data'!$I$1</c:f>
              <c:strCache>
                <c:ptCount val="1"/>
                <c:pt idx="0">
                  <c:v>DEPARTMENT OF TRANSPORTATION (DOT)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DOT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DEPARTMENT
OF
TRANSPORTATION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'kingstreet post-csp data'!$A$2:$A$11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</c:strCache>
            </c:strRef>
          </c:cat>
          <c:val>
            <c:numRef>
              <c:f>'kingstreet post-csp data'!$I$2:$I$11</c:f>
              <c:numCache>
                <c:ptCount val="10"/>
                <c:pt idx="0">
                  <c:v>989.7812542736913</c:v>
                </c:pt>
                <c:pt idx="2">
                  <c:v>11048.664099313513</c:v>
                </c:pt>
                <c:pt idx="3">
                  <c:v>44281</c:v>
                </c:pt>
                <c:pt idx="4">
                  <c:v>44281</c:v>
                </c:pt>
                <c:pt idx="5">
                  <c:v>44281</c:v>
                </c:pt>
                <c:pt idx="9">
                  <c:v>24744.60324419512</c:v>
                </c:pt>
              </c:numCache>
            </c:numRef>
          </c:val>
          <c:shape val="box"/>
        </c:ser>
        <c:ser>
          <c:idx val="9"/>
          <c:order val="8"/>
          <c:tx>
            <c:strRef>
              <c:f>'kingstreet post-csp data'!$J$1</c:f>
              <c:strCache>
                <c:ptCount val="1"/>
                <c:pt idx="0">
                  <c:v>ITS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'kingstreet post-csp data'!$A$2:$A$11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</c:strCache>
            </c:strRef>
          </c:cat>
          <c:val>
            <c:numRef>
              <c:f>'kingstreet post-csp data'!$J$2:$J$11</c:f>
              <c:numCache>
                <c:ptCount val="10"/>
                <c:pt idx="0">
                  <c:v>3309.5463890252736</c:v>
                </c:pt>
              </c:numCache>
            </c:numRef>
          </c:val>
          <c:shape val="box"/>
        </c:ser>
        <c:ser>
          <c:idx val="10"/>
          <c:order val="9"/>
          <c:tx>
            <c:strRef>
              <c:f>'kingstreet post-csp data'!$K$1</c:f>
              <c:strCache>
                <c:ptCount val="1"/>
                <c:pt idx="0">
                  <c:v>RECORDS, ELECTIONS, &amp; LICENSING (REALS)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REALS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'kingstreet post-csp data'!$A$2:$A$11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</c:strCache>
            </c:strRef>
          </c:cat>
          <c:val>
            <c:numRef>
              <c:f>'kingstreet post-csp data'!$K$2:$K$11</c:f>
              <c:numCache>
                <c:ptCount val="10"/>
                <c:pt idx="0">
                  <c:v>261.77969388601554</c:v>
                </c:pt>
              </c:numCache>
            </c:numRef>
          </c:val>
          <c:shape val="box"/>
        </c:ser>
        <c:overlap val="100"/>
        <c:gapWidth val="10"/>
        <c:gapDepth val="70"/>
        <c:shape val="box"/>
        <c:axId val="49241188"/>
        <c:axId val="40517509"/>
      </c:bar3DChart>
      <c:catAx>
        <c:axId val="49241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0517509"/>
        <c:crosses val="autoZero"/>
        <c:auto val="1"/>
        <c:lblOffset val="100"/>
        <c:noMultiLvlLbl val="0"/>
      </c:catAx>
      <c:valAx>
        <c:axId val="4051750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92411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75"/>
          <c:y val="0.04825"/>
          <c:w val="0.1805"/>
          <c:h val="0.9172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Administration Building - Post Courthouse Seismic
220,000 gross square feet</a:t>
            </a:r>
          </a:p>
        </c:rich>
      </c:tx>
      <c:layout/>
      <c:spPr>
        <a:noFill/>
        <a:ln>
          <a:noFill/>
        </a:ln>
      </c:spPr>
    </c:title>
    <c:view3D>
      <c:rotX val="12"/>
      <c:rotY val="20"/>
      <c:depthPercent val="210"/>
      <c:rAngAx val="1"/>
    </c:view3D>
    <c:plotArea>
      <c:layout>
        <c:manualLayout>
          <c:xMode val="edge"/>
          <c:yMode val="edge"/>
          <c:x val="0.00725"/>
          <c:y val="0.13775"/>
          <c:w val="0.77"/>
          <c:h val="0.86225"/>
        </c:manualLayout>
      </c:layout>
      <c:bar3DChart>
        <c:barDir val="bar"/>
        <c:grouping val="stacked"/>
        <c:varyColors val="0"/>
        <c:ser>
          <c:idx val="1"/>
          <c:order val="0"/>
          <c:tx>
            <c:strRef>
              <c:f>'admin post-csp data'!$B$1</c:f>
              <c:strCache>
                <c:ptCount val="1"/>
                <c:pt idx="0">
                  <c:v>RECORDS, ELECTIONS, &amp; LICENSING (REALS)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REALS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'admin post-csp data'!$B$2:$B$10</c:f>
              <c:numCache>
                <c:ptCount val="9"/>
                <c:pt idx="0">
                  <c:v>580.8890968647637</c:v>
                </c:pt>
                <c:pt idx="2">
                  <c:v>10441.147877434918</c:v>
                </c:pt>
                <c:pt idx="3">
                  <c:v>12167.865858237914</c:v>
                </c:pt>
                <c:pt idx="4">
                  <c:v>14124.003845092275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'admin post-csp data'!$C$1</c:f>
              <c:strCache>
                <c:ptCount val="1"/>
                <c:pt idx="0">
                  <c:v>ITS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'admin post-csp data'!$C$2:$C$10</c:f>
              <c:numCache>
                <c:ptCount val="9"/>
                <c:pt idx="0">
                  <c:v>461.61909218530656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'admin post-csp data'!$D$1</c:f>
              <c:strCache>
                <c:ptCount val="1"/>
                <c:pt idx="0">
                  <c:v>FINANCE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'admin post-csp data'!$D$2:$D$10</c:f>
              <c:numCache>
                <c:ptCount val="9"/>
                <c:pt idx="0">
                  <c:v>3390.470753392607</c:v>
                </c:pt>
                <c:pt idx="5">
                  <c:v>24270.590532699927</c:v>
                </c:pt>
              </c:numCache>
            </c:numRef>
          </c:val>
          <c:shape val="box"/>
        </c:ser>
        <c:ser>
          <c:idx val="4"/>
          <c:order val="3"/>
          <c:tx>
            <c:strRef>
              <c:f>'admin post-csp data'!$E$1</c:f>
              <c:strCache>
                <c:ptCount val="1"/>
                <c:pt idx="0">
                  <c:v>FACILITIES MANAGEMENT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FACILITIES
MANAGEMENT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FACILITIES
MANAGEMENT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FACILITIES
MANAGEMENT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'admin post-csp data'!$E$2:$E$10</c:f>
              <c:numCache>
                <c:ptCount val="9"/>
                <c:pt idx="0">
                  <c:v>3506.317267197005</c:v>
                </c:pt>
                <c:pt idx="1">
                  <c:v>5861.57715547649</c:v>
                </c:pt>
                <c:pt idx="2">
                  <c:v>10558.85212256508</c:v>
                </c:pt>
                <c:pt idx="4">
                  <c:v>6554.3115476496405</c:v>
                </c:pt>
                <c:pt idx="7">
                  <c:v>5775.361721334742</c:v>
                </c:pt>
              </c:numCache>
            </c:numRef>
          </c:val>
          <c:shape val="box"/>
        </c:ser>
        <c:ser>
          <c:idx val="5"/>
          <c:order val="4"/>
          <c:tx>
            <c:strRef>
              <c:f>'admin post-csp data'!$F$1</c:f>
              <c:strCache>
                <c:ptCount val="1"/>
                <c:pt idx="0">
                  <c:v>SHELTER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'admin post-csp data'!$F$2:$F$10</c:f>
              <c:numCache>
                <c:ptCount val="9"/>
                <c:pt idx="0">
                  <c:v>1961.3289658399626</c:v>
                </c:pt>
              </c:numCache>
            </c:numRef>
          </c:val>
          <c:shape val="box"/>
        </c:ser>
        <c:ser>
          <c:idx val="6"/>
          <c:order val="5"/>
          <c:tx>
            <c:strRef>
              <c:f>'admin post-csp data'!$G$1</c:f>
              <c:strCache>
                <c:ptCount val="1"/>
                <c:pt idx="0">
                  <c:v>LOBBY/LOADING DOCK/BLDG MECH</c:v>
                </c:pt>
              </c:strCache>
            </c:strRef>
          </c:tx>
          <c:spPr>
            <a:pattFill prst="lgCheck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UpDiag">
                <a:fgClr>
                  <a:srgbClr val="33CCCC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'admin post-csp data'!$G$2:$G$10</c:f>
              <c:numCache>
                <c:ptCount val="9"/>
                <c:pt idx="0">
                  <c:v>19599.374824520357</c:v>
                </c:pt>
              </c:numCache>
            </c:numRef>
          </c:val>
          <c:shape val="box"/>
        </c:ser>
        <c:ser>
          <c:idx val="7"/>
          <c:order val="6"/>
          <c:tx>
            <c:strRef>
              <c:f>'admin post-csp data'!$H$1</c:f>
              <c:strCache>
                <c:ptCount val="1"/>
                <c:pt idx="0">
                  <c:v>PUBLIC HEALTH</c:v>
                </c:pt>
              </c:strCache>
            </c:strRef>
          </c:tx>
          <c:spPr>
            <a:pattFill prst="sphere">
              <a:fgClr>
                <a:srgbClr val="CCCCFF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'admin post-csp data'!$H$2:$H$10</c:f>
              <c:numCache>
                <c:ptCount val="9"/>
                <c:pt idx="1">
                  <c:v>4876.5451032113615</c:v>
                </c:pt>
              </c:numCache>
            </c:numRef>
          </c:val>
          <c:shape val="box"/>
        </c:ser>
        <c:ser>
          <c:idx val="8"/>
          <c:order val="7"/>
          <c:tx>
            <c:strRef>
              <c:f>'admin post-csp data'!$I$1</c:f>
              <c:strCache>
                <c:ptCount val="1"/>
                <c:pt idx="0">
                  <c:v>CONFERENCE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'admin post-csp data'!$I$2:$I$10</c:f>
              <c:numCache>
                <c:ptCount val="9"/>
                <c:pt idx="1">
                  <c:v>4261.877741312149</c:v>
                </c:pt>
              </c:numCache>
            </c:numRef>
          </c:val>
          <c:shape val="box"/>
        </c:ser>
        <c:ser>
          <c:idx val="9"/>
          <c:order val="8"/>
          <c:tx>
            <c:strRef>
              <c:f>'admin post-csp data'!$J$1</c:f>
              <c:strCache>
                <c:ptCount val="1"/>
                <c:pt idx="0">
                  <c:v>HUMAN RESOURCES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'admin post-csp data'!$J$2:$J$10</c:f>
              <c:numCache>
                <c:ptCount val="9"/>
                <c:pt idx="3">
                  <c:v>13592.134141762088</c:v>
                </c:pt>
              </c:numCache>
            </c:numRef>
          </c:val>
          <c:shape val="box"/>
        </c:ser>
        <c:ser>
          <c:idx val="10"/>
          <c:order val="9"/>
          <c:tx>
            <c:strRef>
              <c:f>'admin post-csp data'!$K$1</c:f>
              <c:strCache>
                <c:ptCount val="1"/>
                <c:pt idx="0">
                  <c:v>BOARD OF EQUALIZATION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BOARD OF
EQUALIZATION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'admin post-csp data'!$K$2:$K$10</c:f>
              <c:numCache>
                <c:ptCount val="9"/>
                <c:pt idx="4">
                  <c:v>4191.586861966899</c:v>
                </c:pt>
              </c:numCache>
            </c:numRef>
          </c:val>
          <c:shape val="box"/>
        </c:ser>
        <c:ser>
          <c:idx val="11"/>
          <c:order val="10"/>
          <c:tx>
            <c:strRef>
              <c:f>'admin post-csp data'!$L$1</c:f>
              <c:strCache>
                <c:ptCount val="1"/>
                <c:pt idx="0">
                  <c:v>TAX ADVISOR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'admin post-csp data'!$L$2:$L$10</c:f>
              <c:numCache>
                <c:ptCount val="9"/>
                <c:pt idx="4">
                  <c:v>890.0977452911898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'admin post-csp data'!$M$1</c:f>
              <c:strCache>
                <c:ptCount val="1"/>
                <c:pt idx="0">
                  <c:v>WA ST AUDITOR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'admin post-csp data'!$M$2:$M$10</c:f>
              <c:numCache>
                <c:ptCount val="9"/>
                <c:pt idx="5">
                  <c:v>1489.4094673000734</c:v>
                </c:pt>
              </c:numCache>
            </c:numRef>
          </c:val>
          <c:shape val="box"/>
        </c:ser>
        <c:ser>
          <c:idx val="13"/>
          <c:order val="12"/>
          <c:tx>
            <c:strRef>
              <c:f>'admin post-csp data'!$N$1</c:f>
              <c:strCache>
                <c:ptCount val="1"/>
                <c:pt idx="0">
                  <c:v>ASSESSOR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'admin post-csp data'!$N$2:$N$10</c:f>
              <c:numCache>
                <c:ptCount val="9"/>
                <c:pt idx="6">
                  <c:v>25760</c:v>
                </c:pt>
                <c:pt idx="7">
                  <c:v>14366.423549229186</c:v>
                </c:pt>
              </c:numCache>
            </c:numRef>
          </c:val>
          <c:shape val="box"/>
        </c:ser>
        <c:ser>
          <c:idx val="14"/>
          <c:order val="13"/>
          <c:tx>
            <c:strRef>
              <c:f>'admin post-csp data'!$O$1</c:f>
              <c:strCache>
                <c:ptCount val="1"/>
                <c:pt idx="0">
                  <c:v>TO BE ASSIGNED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'admin post-csp data'!$O$2:$O$10</c:f>
              <c:numCache>
                <c:ptCount val="9"/>
                <c:pt idx="7">
                  <c:v>5618.21472943607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'admin post-csp data'!$P$1</c:f>
              <c:strCache>
                <c:ptCount val="1"/>
                <c:pt idx="0">
                  <c:v>PROSECUTING ATTORNEY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'admin post-csp data'!$P$2:$P$10</c:f>
              <c:numCache>
                <c:ptCount val="9"/>
                <c:pt idx="8">
                  <c:v>25760</c:v>
                </c:pt>
              </c:numCache>
            </c:numRef>
          </c:val>
          <c:shape val="box"/>
        </c:ser>
        <c:overlap val="100"/>
        <c:gapWidth val="10"/>
        <c:gapDepth val="70"/>
        <c:shape val="box"/>
        <c:axId val="29113262"/>
        <c:axId val="60692767"/>
      </c:bar3DChart>
      <c:catAx>
        <c:axId val="29113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0692767"/>
        <c:crossesAt val="0"/>
        <c:auto val="1"/>
        <c:lblOffset val="100"/>
        <c:noMultiLvlLbl val="0"/>
      </c:catAx>
      <c:valAx>
        <c:axId val="60692767"/>
        <c:scaling>
          <c:orientation val="minMax"/>
          <c:max val="30000"/>
          <c:min val="0"/>
        </c:scaling>
        <c:axPos val="b"/>
        <c:majorGridlines/>
        <c:delete val="1"/>
        <c:majorTickMark val="out"/>
        <c:minorTickMark val="none"/>
        <c:tickLblPos val="nextTo"/>
        <c:crossAx val="29113262"/>
        <c:crossesAt val="1"/>
        <c:crossBetween val="between"/>
        <c:dispUnits/>
        <c:majorUnit val="5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"/>
          <c:y val="0.063"/>
          <c:w val="0.197"/>
          <c:h val="0.85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38" right="0.25" top="0.29" bottom="0.43" header="0.5" footer="0.21"/>
  <pageSetup horizontalDpi="600" verticalDpi="600" orientation="landscape" paperSize="5"/>
  <headerFooter>
    <oddFooter>&amp;L&amp;8&amp;A, &amp;F
klk
&amp;D, &amp;T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82"/>
  </sheetViews>
  <pageMargins left="0.25" right="0.3" top="0.5" bottom="0.53" header="0.5" footer="0"/>
  <pageSetup horizontalDpi="300" verticalDpi="300" orientation="landscape" paperSize="5"/>
  <headerFooter>
    <oddFooter>&amp;L&amp;8&amp;A,&amp;F
KLK
&amp;D,&amp;T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39" right="0.2" top="0.48" bottom="0.54" header="0.5" footer="0"/>
  <pageSetup horizontalDpi="600" verticalDpi="600" orientation="landscape" paperSize="5"/>
  <headerFooter>
    <oddFooter>&amp;L&amp;8&amp;A, &amp;F
KLK
&amp;D, &amp;T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33" right="0.17" top="0.48" bottom="0.64" header="0.5" footer="0"/>
  <pageSetup horizontalDpi="600" verticalDpi="600" orientation="landscape" paperSize="5"/>
  <headerFooter>
    <oddFooter>&amp;L&amp;8&amp;A, &amp;F
KLK
&amp;D, &amp;T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211050" cy="7105650"/>
    <xdr:graphicFrame>
      <xdr:nvGraphicFramePr>
        <xdr:cNvPr id="1" name="Shape 1025"/>
        <xdr:cNvGraphicFramePr/>
      </xdr:nvGraphicFramePr>
      <xdr:xfrm>
        <a:off x="0" y="0"/>
        <a:ext cx="12211050" cy="710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287250" cy="6819900"/>
    <xdr:graphicFrame>
      <xdr:nvGraphicFramePr>
        <xdr:cNvPr id="1" name="Shape 1025"/>
        <xdr:cNvGraphicFramePr/>
      </xdr:nvGraphicFramePr>
      <xdr:xfrm>
        <a:off x="0" y="0"/>
        <a:ext cx="1228725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249150" cy="6829425"/>
    <xdr:graphicFrame>
      <xdr:nvGraphicFramePr>
        <xdr:cNvPr id="1" name="Shape 1025"/>
        <xdr:cNvGraphicFramePr/>
      </xdr:nvGraphicFramePr>
      <xdr:xfrm>
        <a:off x="0" y="0"/>
        <a:ext cx="1224915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306300" cy="6734175"/>
    <xdr:graphicFrame>
      <xdr:nvGraphicFramePr>
        <xdr:cNvPr id="1" name="Shape 1025"/>
        <xdr:cNvGraphicFramePr/>
      </xdr:nvGraphicFramePr>
      <xdr:xfrm>
        <a:off x="0" y="0"/>
        <a:ext cx="1230630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27"/>
  <sheetViews>
    <sheetView workbookViewId="0" topLeftCell="B3">
      <selection activeCell="D11" sqref="D11"/>
    </sheetView>
  </sheetViews>
  <sheetFormatPr defaultColWidth="9.140625" defaultRowHeight="12.75"/>
  <cols>
    <col min="2" max="2" width="9.421875" style="0" customWidth="1"/>
    <col min="3" max="3" width="9.28125" style="0" customWidth="1"/>
    <col min="4" max="4" width="7.28125" style="0" customWidth="1"/>
    <col min="5" max="7" width="8.57421875" style="0" customWidth="1"/>
    <col min="8" max="8" width="4.00390625" style="7" customWidth="1"/>
    <col min="9" max="9" width="13.7109375" style="17" customWidth="1"/>
    <col min="10" max="10" width="3.57421875" style="7" customWidth="1"/>
    <col min="11" max="11" width="11.28125" style="0" hidden="1" customWidth="1"/>
    <col min="12" max="12" width="8.57421875" style="0" hidden="1" customWidth="1"/>
    <col min="13" max="14" width="0" style="0" hidden="1" customWidth="1"/>
    <col min="15" max="15" width="3.7109375" style="7" customWidth="1"/>
    <col min="16" max="16" width="14.28125" style="0" customWidth="1"/>
    <col min="17" max="17" width="7.57421875" style="0" customWidth="1"/>
  </cols>
  <sheetData>
    <row r="1" spans="2:19" ht="29.25" customHeight="1">
      <c r="B1" s="85" t="s">
        <v>5</v>
      </c>
      <c r="C1" s="85"/>
      <c r="D1" s="85"/>
      <c r="E1" s="85"/>
      <c r="F1" s="85"/>
      <c r="G1" s="85"/>
      <c r="H1" s="8"/>
      <c r="I1" s="31"/>
      <c r="J1" s="8"/>
      <c r="K1" s="85" t="s">
        <v>9</v>
      </c>
      <c r="L1" s="85"/>
      <c r="M1" s="85"/>
      <c r="N1" s="85"/>
      <c r="O1" s="5"/>
      <c r="P1" s="85" t="s">
        <v>8</v>
      </c>
      <c r="Q1" s="85"/>
      <c r="R1" s="85"/>
      <c r="S1" s="85"/>
    </row>
    <row r="2" spans="1:19" s="1" customFormat="1" ht="57" customHeight="1" thickBot="1">
      <c r="A2" s="1" t="s">
        <v>32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6</v>
      </c>
      <c r="H2" s="6"/>
      <c r="I2" s="32" t="s">
        <v>31</v>
      </c>
      <c r="J2" s="6"/>
      <c r="O2" s="6"/>
      <c r="Q2" s="70" t="s">
        <v>16</v>
      </c>
      <c r="R2" s="1" t="s">
        <v>17</v>
      </c>
      <c r="S2" s="1" t="s">
        <v>18</v>
      </c>
    </row>
    <row r="3" spans="1:19" s="11" customFormat="1" ht="24.75" customHeight="1" thickBot="1">
      <c r="A3" s="11" t="s">
        <v>7</v>
      </c>
      <c r="G3" s="11">
        <v>7957</v>
      </c>
      <c r="H3" s="13"/>
      <c r="I3" s="11">
        <v>7800</v>
      </c>
      <c r="J3" s="13"/>
      <c r="K3" s="11" t="s">
        <v>10</v>
      </c>
      <c r="L3" s="11">
        <v>7957</v>
      </c>
      <c r="M3" s="14">
        <v>1</v>
      </c>
      <c r="N3" s="11">
        <f>M3*I3</f>
        <v>7800</v>
      </c>
      <c r="O3" s="13"/>
      <c r="P3" s="11" t="s">
        <v>10</v>
      </c>
      <c r="Q3" s="71">
        <v>7957</v>
      </c>
      <c r="R3" s="14">
        <v>1</v>
      </c>
      <c r="S3" s="27">
        <f>R3*I3</f>
        <v>7800</v>
      </c>
    </row>
    <row r="4" spans="1:19" s="17" customFormat="1" ht="27" customHeight="1">
      <c r="A4" s="17">
        <v>1</v>
      </c>
      <c r="B4" s="17">
        <v>15285</v>
      </c>
      <c r="C4" s="17">
        <v>1170</v>
      </c>
      <c r="D4" s="17">
        <v>14115</v>
      </c>
      <c r="E4" s="17">
        <v>1737</v>
      </c>
      <c r="F4" s="17">
        <v>1611</v>
      </c>
      <c r="G4" s="17">
        <v>10965</v>
      </c>
      <c r="H4" s="18"/>
      <c r="I4" s="3">
        <v>14000</v>
      </c>
      <c r="J4" s="18"/>
      <c r="K4" s="17" t="s">
        <v>10</v>
      </c>
      <c r="L4" s="17">
        <v>10965</v>
      </c>
      <c r="M4" s="45">
        <v>1</v>
      </c>
      <c r="N4" s="17">
        <f>M4*I4</f>
        <v>14000</v>
      </c>
      <c r="O4" s="18"/>
      <c r="P4" s="17" t="s">
        <v>11</v>
      </c>
      <c r="Q4" s="72">
        <f>138+4275+3531</f>
        <v>7944</v>
      </c>
      <c r="R4" s="45">
        <f>Q4/SUM($Q$4:$Q$7)</f>
        <v>0.7244209374430056</v>
      </c>
      <c r="S4" s="46">
        <f>R4*$I$4</f>
        <v>10141.893124202079</v>
      </c>
    </row>
    <row r="5" spans="1:19" ht="27" customHeight="1">
      <c r="A5">
        <v>1</v>
      </c>
      <c r="I5" s="3"/>
      <c r="P5" t="s">
        <v>13</v>
      </c>
      <c r="Q5" s="73">
        <f>2235+200</f>
        <v>2435</v>
      </c>
      <c r="R5" s="4">
        <f>Q5/SUM($Q$4:$Q$7)</f>
        <v>0.22204997264271384</v>
      </c>
      <c r="S5" s="9">
        <f>R5*$I$4</f>
        <v>3108.699616997994</v>
      </c>
    </row>
    <row r="6" spans="1:19" ht="27" customHeight="1">
      <c r="A6">
        <v>1</v>
      </c>
      <c r="I6" s="3"/>
      <c r="P6" t="s">
        <v>14</v>
      </c>
      <c r="Q6" s="73">
        <v>148</v>
      </c>
      <c r="R6" s="4">
        <f>Q6/SUM($Q$4:$Q$7)</f>
        <v>0.013496261170891848</v>
      </c>
      <c r="S6" s="9">
        <f>R6*$I$4</f>
        <v>188.94765639248587</v>
      </c>
    </row>
    <row r="7" spans="1:19" s="11" customFormat="1" ht="27" customHeight="1" thickBot="1">
      <c r="A7" s="11">
        <v>1</v>
      </c>
      <c r="H7" s="13"/>
      <c r="I7" s="12"/>
      <c r="J7" s="13"/>
      <c r="O7" s="13"/>
      <c r="P7" s="11" t="s">
        <v>15</v>
      </c>
      <c r="Q7" s="71">
        <v>439</v>
      </c>
      <c r="R7" s="14">
        <f>Q7/SUM($Q$4:$Q$7)</f>
        <v>0.040032828743388656</v>
      </c>
      <c r="S7" s="15">
        <f>R7*$I$4</f>
        <v>560.4596024074411</v>
      </c>
    </row>
    <row r="8" spans="1:19" ht="27" customHeight="1">
      <c r="A8">
        <v>2</v>
      </c>
      <c r="B8">
        <v>14316</v>
      </c>
      <c r="C8">
        <v>1287</v>
      </c>
      <c r="D8">
        <v>13029</v>
      </c>
      <c r="E8" s="3">
        <v>936</v>
      </c>
      <c r="F8" s="3">
        <v>1053</v>
      </c>
      <c r="G8" s="3">
        <v>11116</v>
      </c>
      <c r="H8" s="18"/>
      <c r="I8" s="3">
        <v>14000</v>
      </c>
      <c r="K8" t="s">
        <v>19</v>
      </c>
      <c r="L8" s="9">
        <v>1905</v>
      </c>
      <c r="M8" s="10">
        <f>L8/SUM($L$8:$L$15)</f>
        <v>0.17151345998019268</v>
      </c>
      <c r="N8" s="9">
        <f>M8*$I$8</f>
        <v>2401.1884397226977</v>
      </c>
      <c r="P8" s="3" t="s">
        <v>57</v>
      </c>
      <c r="Q8" s="74">
        <f>L8-180+2033</f>
        <v>3758</v>
      </c>
      <c r="R8" s="4">
        <f aca="true" t="shared" si="0" ref="R8:R13">Q8/SUM($Q$8:$Q$14)</f>
        <v>0.3271809158976145</v>
      </c>
      <c r="S8" s="9">
        <f aca="true" t="shared" si="1" ref="S8:S13">R8*$I$8</f>
        <v>4580.532822566603</v>
      </c>
    </row>
    <row r="9" spans="1:19" ht="27" customHeight="1">
      <c r="A9">
        <v>2</v>
      </c>
      <c r="I9" s="3"/>
      <c r="K9" t="s">
        <v>20</v>
      </c>
      <c r="L9" s="9">
        <f>2686+114</f>
        <v>2800</v>
      </c>
      <c r="M9" s="10">
        <f aca="true" t="shared" si="2" ref="M9:M15">L9/SUM($L$8:$L$15)</f>
        <v>0.25209327451156927</v>
      </c>
      <c r="N9" s="9">
        <f aca="true" t="shared" si="3" ref="N9:N15">M9*$I$8</f>
        <v>3529.3058431619697</v>
      </c>
      <c r="P9" t="s">
        <v>20</v>
      </c>
      <c r="Q9" s="73">
        <f>2686+180</f>
        <v>2866</v>
      </c>
      <c r="R9" s="4">
        <f t="shared" si="0"/>
        <v>0.24952115619014453</v>
      </c>
      <c r="S9" s="9">
        <f t="shared" si="1"/>
        <v>3493.2961866620235</v>
      </c>
    </row>
    <row r="10" spans="1:19" ht="27" customHeight="1">
      <c r="A10">
        <v>2</v>
      </c>
      <c r="I10" s="3"/>
      <c r="K10" t="s">
        <v>37</v>
      </c>
      <c r="L10" s="9">
        <v>636</v>
      </c>
      <c r="M10" s="10">
        <f t="shared" si="2"/>
        <v>0.05726118663905645</v>
      </c>
      <c r="N10" s="9">
        <f t="shared" si="3"/>
        <v>801.6566129467903</v>
      </c>
      <c r="P10" t="s">
        <v>37</v>
      </c>
      <c r="Q10" s="73">
        <v>636</v>
      </c>
      <c r="R10" s="4">
        <f t="shared" si="0"/>
        <v>0.05537175692146962</v>
      </c>
      <c r="S10" s="9">
        <f t="shared" si="1"/>
        <v>775.2045969005746</v>
      </c>
    </row>
    <row r="11" spans="1:19" ht="27" customHeight="1">
      <c r="A11">
        <v>2</v>
      </c>
      <c r="I11" s="3"/>
      <c r="K11" t="s">
        <v>22</v>
      </c>
      <c r="L11" s="9">
        <v>735</v>
      </c>
      <c r="M11" s="10">
        <f t="shared" si="2"/>
        <v>0.06617448455928694</v>
      </c>
      <c r="N11" s="9">
        <f t="shared" si="3"/>
        <v>926.4427838300172</v>
      </c>
      <c r="P11" t="s">
        <v>22</v>
      </c>
      <c r="Q11" s="73">
        <v>735</v>
      </c>
      <c r="R11" s="4">
        <f t="shared" si="0"/>
        <v>0.06399094549886819</v>
      </c>
      <c r="S11" s="9">
        <f t="shared" si="1"/>
        <v>895.8732369841547</v>
      </c>
    </row>
    <row r="12" spans="1:19" ht="27" customHeight="1">
      <c r="A12">
        <v>2</v>
      </c>
      <c r="I12" s="3"/>
      <c r="K12" t="s">
        <v>23</v>
      </c>
      <c r="L12" s="9">
        <f>1318</f>
        <v>1318</v>
      </c>
      <c r="M12" s="10">
        <f t="shared" si="2"/>
        <v>0.11866390564508868</v>
      </c>
      <c r="N12" s="9">
        <f t="shared" si="3"/>
        <v>1661.2946790312415</v>
      </c>
      <c r="P12" t="s">
        <v>23</v>
      </c>
      <c r="Q12" s="73">
        <f>735+1318</f>
        <v>2053</v>
      </c>
      <c r="R12" s="4">
        <f t="shared" si="0"/>
        <v>0.17873933484241686</v>
      </c>
      <c r="S12" s="9">
        <f t="shared" si="1"/>
        <v>2502.350687793836</v>
      </c>
    </row>
    <row r="13" spans="1:19" ht="27" customHeight="1">
      <c r="A13">
        <v>2</v>
      </c>
      <c r="I13" s="3"/>
      <c r="K13" t="s">
        <v>21</v>
      </c>
      <c r="L13" s="9">
        <v>1438</v>
      </c>
      <c r="M13" s="10">
        <f t="shared" si="2"/>
        <v>0.12946790312415593</v>
      </c>
      <c r="N13" s="9">
        <f t="shared" si="3"/>
        <v>1812.550643738183</v>
      </c>
      <c r="P13" t="s">
        <v>21</v>
      </c>
      <c r="Q13" s="73">
        <v>1438</v>
      </c>
      <c r="R13" s="4">
        <f t="shared" si="0"/>
        <v>0.12519589064948633</v>
      </c>
      <c r="S13" s="9">
        <f t="shared" si="1"/>
        <v>1752.7424690928087</v>
      </c>
    </row>
    <row r="14" spans="1:19" ht="27" customHeight="1">
      <c r="A14">
        <v>2</v>
      </c>
      <c r="I14" s="3"/>
      <c r="K14" t="s">
        <v>24</v>
      </c>
      <c r="L14" s="9">
        <v>1551</v>
      </c>
      <c r="M14" s="10">
        <f t="shared" si="2"/>
        <v>0.13964166741694428</v>
      </c>
      <c r="N14" s="9">
        <f t="shared" si="3"/>
        <v>1954.98334383722</v>
      </c>
      <c r="Q14" s="73"/>
      <c r="R14" s="4"/>
      <c r="S14" s="9"/>
    </row>
    <row r="15" spans="1:17" s="11" customFormat="1" ht="27" customHeight="1" thickBot="1">
      <c r="A15" s="11">
        <v>2</v>
      </c>
      <c r="H15" s="13"/>
      <c r="I15" s="12"/>
      <c r="J15" s="13"/>
      <c r="K15" s="11" t="s">
        <v>25</v>
      </c>
      <c r="L15" s="15">
        <v>724</v>
      </c>
      <c r="M15" s="16">
        <f t="shared" si="2"/>
        <v>0.06518411812370577</v>
      </c>
      <c r="N15" s="15">
        <f t="shared" si="3"/>
        <v>912.5776537318808</v>
      </c>
      <c r="O15" s="13"/>
      <c r="Q15" s="71"/>
    </row>
    <row r="16" spans="1:19" s="21" customFormat="1" ht="27" customHeight="1" thickBot="1">
      <c r="A16" s="21">
        <v>3</v>
      </c>
      <c r="B16" s="21">
        <v>14130</v>
      </c>
      <c r="C16" s="21">
        <v>1001</v>
      </c>
      <c r="D16" s="21">
        <v>12129</v>
      </c>
      <c r="E16" s="22">
        <v>0</v>
      </c>
      <c r="F16" s="22">
        <v>571</v>
      </c>
      <c r="G16" s="22">
        <v>12558</v>
      </c>
      <c r="H16" s="23"/>
      <c r="I16" s="22">
        <v>14000</v>
      </c>
      <c r="J16" s="23"/>
      <c r="K16" s="22" t="s">
        <v>22</v>
      </c>
      <c r="L16" s="22">
        <v>12558</v>
      </c>
      <c r="M16" s="24">
        <v>1</v>
      </c>
      <c r="N16" s="25">
        <f>M16*$I$16</f>
        <v>14000</v>
      </c>
      <c r="O16" s="23"/>
      <c r="P16" s="22" t="s">
        <v>22</v>
      </c>
      <c r="Q16" s="75">
        <v>12558</v>
      </c>
      <c r="R16" s="26">
        <v>1</v>
      </c>
      <c r="S16" s="25">
        <f>R16*$I$16</f>
        <v>14000</v>
      </c>
    </row>
    <row r="17" spans="1:19" ht="27" customHeight="1">
      <c r="A17" s="3">
        <v>4</v>
      </c>
      <c r="B17">
        <v>14128</v>
      </c>
      <c r="C17">
        <v>1056</v>
      </c>
      <c r="D17">
        <v>13072</v>
      </c>
      <c r="E17" s="2">
        <v>0</v>
      </c>
      <c r="F17" s="2">
        <v>2533</v>
      </c>
      <c r="G17" s="2">
        <v>10540</v>
      </c>
      <c r="I17" s="3">
        <v>14000</v>
      </c>
      <c r="K17" s="3" t="s">
        <v>10</v>
      </c>
      <c r="L17" s="3">
        <v>10540</v>
      </c>
      <c r="M17" s="4">
        <v>1</v>
      </c>
      <c r="N17" s="20">
        <f>M17*$I$17</f>
        <v>14000</v>
      </c>
      <c r="P17" s="3" t="s">
        <v>26</v>
      </c>
      <c r="Q17" s="72">
        <v>4536</v>
      </c>
      <c r="R17" s="10">
        <f>Q17/SUM($Q$17:$Q$21)</f>
        <v>0.48446010893944247</v>
      </c>
      <c r="S17" s="9">
        <f>R17*$I$17</f>
        <v>6782.441525152194</v>
      </c>
    </row>
    <row r="18" spans="1:19" ht="27" customHeight="1">
      <c r="A18" s="3">
        <v>4</v>
      </c>
      <c r="I18" s="3"/>
      <c r="P18" s="3" t="s">
        <v>27</v>
      </c>
      <c r="Q18" s="72">
        <v>1114</v>
      </c>
      <c r="R18" s="10">
        <f>Q18/SUM($Q$17:$Q$21)</f>
        <v>0.11897895973512763</v>
      </c>
      <c r="S18" s="9">
        <f aca="true" t="shared" si="4" ref="S18:S23">R18*$I$17</f>
        <v>1665.7054362917868</v>
      </c>
    </row>
    <row r="19" spans="1:19" ht="27" customHeight="1">
      <c r="A19" s="3">
        <v>4</v>
      </c>
      <c r="I19" s="3"/>
      <c r="P19" s="3" t="s">
        <v>11</v>
      </c>
      <c r="Q19" s="72">
        <v>2137</v>
      </c>
      <c r="R19" s="10">
        <f>Q19/SUM($Q$17:$Q$21)</f>
        <v>0.22823881234647014</v>
      </c>
      <c r="S19" s="9">
        <f t="shared" si="4"/>
        <v>3195.343372850582</v>
      </c>
    </row>
    <row r="20" spans="1:19" ht="27" customHeight="1">
      <c r="A20" s="3">
        <v>4</v>
      </c>
      <c r="P20" s="3" t="s">
        <v>28</v>
      </c>
      <c r="Q20" s="72">
        <v>550</v>
      </c>
      <c r="R20" s="10">
        <f>Q20/SUM($Q$17:$Q$21)</f>
        <v>0.05874185624265727</v>
      </c>
      <c r="S20" s="9">
        <f t="shared" si="4"/>
        <v>822.3859873972018</v>
      </c>
    </row>
    <row r="21" spans="1:19" s="11" customFormat="1" ht="27" customHeight="1" thickBot="1">
      <c r="A21" s="12">
        <v>4</v>
      </c>
      <c r="H21" s="13"/>
      <c r="J21" s="13"/>
      <c r="O21" s="13"/>
      <c r="P21" s="12" t="s">
        <v>29</v>
      </c>
      <c r="Q21" s="71">
        <f>450+576</f>
        <v>1026</v>
      </c>
      <c r="R21" s="16">
        <f>Q21/SUM($Q$17:$Q$21)</f>
        <v>0.10958026273630246</v>
      </c>
      <c r="S21" s="15">
        <f t="shared" si="4"/>
        <v>1534.1236783082345</v>
      </c>
    </row>
    <row r="22" spans="1:19" ht="23.25" customHeight="1">
      <c r="A22" s="3">
        <v>5</v>
      </c>
      <c r="B22">
        <v>14305</v>
      </c>
      <c r="C22">
        <v>920</v>
      </c>
      <c r="D22">
        <v>13850</v>
      </c>
      <c r="E22">
        <v>0</v>
      </c>
      <c r="F22">
        <v>2195</v>
      </c>
      <c r="G22">
        <v>11190</v>
      </c>
      <c r="I22" s="17">
        <v>14000</v>
      </c>
      <c r="K22" t="s">
        <v>21</v>
      </c>
      <c r="L22">
        <v>11190</v>
      </c>
      <c r="M22" s="4">
        <v>1</v>
      </c>
      <c r="N22">
        <f>M22*I22</f>
        <v>14000</v>
      </c>
      <c r="P22" s="3" t="s">
        <v>21</v>
      </c>
      <c r="Q22" s="72">
        <v>5621</v>
      </c>
      <c r="R22" s="19">
        <f>Q22/SUM($Q$22:$Q$23)</f>
        <v>0.5023683975332917</v>
      </c>
      <c r="S22" s="20">
        <f t="shared" si="4"/>
        <v>7033.157565466083</v>
      </c>
    </row>
    <row r="23" spans="1:19" s="11" customFormat="1" ht="24" customHeight="1" thickBot="1">
      <c r="A23" s="12">
        <v>5</v>
      </c>
      <c r="H23" s="13"/>
      <c r="J23" s="13"/>
      <c r="O23" s="13"/>
      <c r="P23" s="12" t="s">
        <v>22</v>
      </c>
      <c r="Q23" s="71">
        <f>568+5000</f>
        <v>5568</v>
      </c>
      <c r="R23" s="28">
        <f>Q23/SUM($Q$22:$Q$23)</f>
        <v>0.4976316024667084</v>
      </c>
      <c r="S23" s="29">
        <f t="shared" si="4"/>
        <v>6966.842434533917</v>
      </c>
    </row>
    <row r="24" spans="1:19" s="21" customFormat="1" ht="27" customHeight="1" thickBot="1">
      <c r="A24" s="22">
        <v>6</v>
      </c>
      <c r="B24" s="21">
        <v>14306</v>
      </c>
      <c r="C24" s="21">
        <v>837</v>
      </c>
      <c r="D24" s="21">
        <v>13469</v>
      </c>
      <c r="E24" s="21">
        <v>0</v>
      </c>
      <c r="F24" s="21">
        <v>1063</v>
      </c>
      <c r="G24" s="21">
        <v>12405</v>
      </c>
      <c r="H24" s="23"/>
      <c r="I24" s="21">
        <v>14000</v>
      </c>
      <c r="J24" s="23"/>
      <c r="K24" s="21" t="s">
        <v>30</v>
      </c>
      <c r="L24" s="21">
        <v>12405</v>
      </c>
      <c r="M24" s="26">
        <v>1</v>
      </c>
      <c r="N24" s="21">
        <f>M24*$I$24</f>
        <v>14000</v>
      </c>
      <c r="O24" s="23"/>
      <c r="P24" s="21" t="s">
        <v>30</v>
      </c>
      <c r="Q24" s="75">
        <v>12405</v>
      </c>
      <c r="R24" s="26">
        <v>1</v>
      </c>
      <c r="S24" s="21">
        <f>R24*$I$24</f>
        <v>14000</v>
      </c>
    </row>
    <row r="25" spans="1:19" s="21" customFormat="1" ht="27" customHeight="1" thickBot="1">
      <c r="A25" s="30">
        <v>7</v>
      </c>
      <c r="B25" s="21">
        <v>96645</v>
      </c>
      <c r="C25" s="21">
        <v>806</v>
      </c>
      <c r="D25" s="21">
        <v>8859</v>
      </c>
      <c r="E25" s="21">
        <v>0</v>
      </c>
      <c r="F25" s="21">
        <v>993</v>
      </c>
      <c r="G25" s="21">
        <v>7867</v>
      </c>
      <c r="H25" s="23"/>
      <c r="I25" s="21">
        <v>9600</v>
      </c>
      <c r="J25" s="23"/>
      <c r="K25" s="21" t="s">
        <v>30</v>
      </c>
      <c r="L25" s="21">
        <v>7867</v>
      </c>
      <c r="M25" s="26">
        <v>1</v>
      </c>
      <c r="N25" s="21">
        <f>M25*$I$25</f>
        <v>9600</v>
      </c>
      <c r="O25" s="23"/>
      <c r="P25" s="21" t="s">
        <v>30</v>
      </c>
      <c r="Q25" s="75">
        <v>7867</v>
      </c>
      <c r="R25" s="26">
        <v>1</v>
      </c>
      <c r="S25" s="21">
        <f>R25*$I$25</f>
        <v>9600</v>
      </c>
    </row>
    <row r="27" ht="12.75">
      <c r="I27" s="17" t="s">
        <v>12</v>
      </c>
    </row>
  </sheetData>
  <mergeCells count="3">
    <mergeCell ref="B1:G1"/>
    <mergeCell ref="P1:S1"/>
    <mergeCell ref="K1:N1"/>
  </mergeCells>
  <printOptions gridLines="1"/>
  <pageMargins left="0.75" right="0.75" top="1" bottom="1" header="0.5" footer="0.5"/>
  <pageSetup fitToHeight="1" fitToWidth="1" horizontalDpi="600" verticalDpi="600" orientation="landscape" scale="66" r:id="rId1"/>
  <headerFooter alignWithMargins="0">
    <oddHeader>&amp;C&amp;A</oddHeader>
    <oddFooter>&amp;L&amp;A&amp;F
klk
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 topLeftCell="G1">
      <selection activeCell="L11" sqref="L11"/>
    </sheetView>
  </sheetViews>
  <sheetFormatPr defaultColWidth="9.140625" defaultRowHeight="12.75"/>
  <cols>
    <col min="8" max="8" width="9.140625" style="7" customWidth="1"/>
    <col min="9" max="9" width="13.57421875" style="0" customWidth="1"/>
    <col min="10" max="10" width="9.140625" style="7" customWidth="1"/>
    <col min="11" max="11" width="37.140625" style="0" customWidth="1"/>
    <col min="12" max="12" width="9.140625" style="9" customWidth="1"/>
    <col min="13" max="13" width="9.140625" style="4" customWidth="1"/>
    <col min="14" max="14" width="9.140625" style="9" customWidth="1"/>
  </cols>
  <sheetData>
    <row r="1" spans="2:14" ht="29.25" customHeight="1">
      <c r="B1" s="85" t="s">
        <v>5</v>
      </c>
      <c r="C1" s="85"/>
      <c r="D1" s="85"/>
      <c r="E1" s="85"/>
      <c r="F1" s="85"/>
      <c r="G1" s="85"/>
      <c r="H1" s="8"/>
      <c r="I1" s="31"/>
      <c r="J1" s="40"/>
      <c r="K1" s="35"/>
      <c r="L1" s="85"/>
      <c r="M1" s="85"/>
      <c r="N1" s="85"/>
    </row>
    <row r="2" spans="1:14" s="1" customFormat="1" ht="57" customHeight="1">
      <c r="A2" s="1" t="s">
        <v>32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6</v>
      </c>
      <c r="H2" s="6"/>
      <c r="I2" s="32" t="s">
        <v>31</v>
      </c>
      <c r="J2" s="41"/>
      <c r="K2" s="36"/>
      <c r="L2" s="76" t="s">
        <v>16</v>
      </c>
      <c r="M2" s="67" t="s">
        <v>17</v>
      </c>
      <c r="N2" s="64" t="s">
        <v>18</v>
      </c>
    </row>
    <row r="3" spans="1:14" ht="24.75" customHeight="1">
      <c r="A3" t="s">
        <v>90</v>
      </c>
      <c r="B3" s="9">
        <v>55049.4</v>
      </c>
      <c r="C3" s="9">
        <v>37232.9</v>
      </c>
      <c r="D3" s="9">
        <v>1816.5</v>
      </c>
      <c r="E3" s="9">
        <v>8007.3</v>
      </c>
      <c r="F3" s="9">
        <v>0</v>
      </c>
      <c r="G3" s="9">
        <v>9809.2</v>
      </c>
      <c r="I3" s="9">
        <v>55000</v>
      </c>
      <c r="K3" t="s">
        <v>92</v>
      </c>
      <c r="L3" s="74">
        <v>34795</v>
      </c>
      <c r="M3" s="4">
        <f aca="true" t="shared" si="0" ref="M3:M8">L3/SUM($L$3:$L$8)</f>
        <v>0.7800817409980653</v>
      </c>
      <c r="N3" s="9">
        <f aca="true" t="shared" si="1" ref="N3:N8">M3*$I$3</f>
        <v>42904.49575489359</v>
      </c>
    </row>
    <row r="4" spans="2:14" ht="24.75" customHeight="1">
      <c r="B4" s="9"/>
      <c r="C4" s="9"/>
      <c r="D4" s="9"/>
      <c r="E4" s="9"/>
      <c r="F4" s="9"/>
      <c r="G4" s="9"/>
      <c r="I4" s="9"/>
      <c r="K4" t="s">
        <v>93</v>
      </c>
      <c r="L4" s="74">
        <v>3513.2</v>
      </c>
      <c r="M4" s="4">
        <f t="shared" si="0"/>
        <v>0.07876370663814924</v>
      </c>
      <c r="N4" s="9">
        <f t="shared" si="1"/>
        <v>4332.003865098209</v>
      </c>
    </row>
    <row r="5" spans="2:14" ht="24.75" customHeight="1">
      <c r="B5" s="9"/>
      <c r="C5" s="9"/>
      <c r="D5" s="9"/>
      <c r="E5" s="9"/>
      <c r="F5" s="9"/>
      <c r="G5" s="9"/>
      <c r="I5" s="9"/>
      <c r="K5" t="s">
        <v>62</v>
      </c>
      <c r="L5" s="74">
        <f>1147.9+292.8+225.2+1018.1</f>
        <v>2684</v>
      </c>
      <c r="M5" s="4">
        <f t="shared" si="0"/>
        <v>0.06017357070955043</v>
      </c>
      <c r="N5" s="9">
        <f t="shared" si="1"/>
        <v>3309.5463890252736</v>
      </c>
    </row>
    <row r="6" spans="2:14" ht="24.75" customHeight="1">
      <c r="B6" s="9"/>
      <c r="C6" s="9"/>
      <c r="D6" s="9"/>
      <c r="E6" s="9"/>
      <c r="F6" s="9"/>
      <c r="G6" s="9"/>
      <c r="I6" s="9"/>
      <c r="K6" t="s">
        <v>63</v>
      </c>
      <c r="L6" s="74">
        <v>212.3</v>
      </c>
      <c r="M6" s="4">
        <f t="shared" si="0"/>
        <v>0.004759630797927555</v>
      </c>
      <c r="N6" s="9">
        <f t="shared" si="1"/>
        <v>261.77969388601554</v>
      </c>
    </row>
    <row r="7" spans="2:14" ht="24.75" customHeight="1">
      <c r="B7" s="9"/>
      <c r="C7" s="9"/>
      <c r="D7" s="9"/>
      <c r="E7" s="9"/>
      <c r="F7" s="9"/>
      <c r="G7" s="9"/>
      <c r="I7" s="9"/>
      <c r="K7" t="s">
        <v>95</v>
      </c>
      <c r="L7" s="74">
        <v>802.7</v>
      </c>
      <c r="M7" s="4">
        <f t="shared" si="0"/>
        <v>0.017996022804976204</v>
      </c>
      <c r="N7" s="9">
        <f t="shared" si="1"/>
        <v>989.7812542736913</v>
      </c>
    </row>
    <row r="8" spans="2:14" s="11" customFormat="1" ht="24.75" customHeight="1" thickBot="1">
      <c r="B8" s="15"/>
      <c r="C8" s="15"/>
      <c r="D8" s="15"/>
      <c r="E8" s="15"/>
      <c r="F8" s="15"/>
      <c r="G8" s="15"/>
      <c r="H8" s="13"/>
      <c r="I8" s="15"/>
      <c r="J8" s="13"/>
      <c r="K8" s="11" t="s">
        <v>94</v>
      </c>
      <c r="L8" s="77">
        <f>219.4+170.7+540.3+244.9+1421.8</f>
        <v>2597.1</v>
      </c>
      <c r="M8" s="14">
        <f t="shared" si="0"/>
        <v>0.058225328051331376</v>
      </c>
      <c r="N8" s="15">
        <f t="shared" si="1"/>
        <v>3202.3930428232256</v>
      </c>
    </row>
    <row r="9" spans="1:14" ht="24.75" customHeight="1">
      <c r="A9" t="s">
        <v>91</v>
      </c>
      <c r="B9" s="9">
        <v>65654.5</v>
      </c>
      <c r="C9" s="9">
        <v>60468.1</v>
      </c>
      <c r="D9" s="9">
        <v>5186.5</v>
      </c>
      <c r="E9" s="9">
        <v>4949.1</v>
      </c>
      <c r="F9" s="9">
        <v>0</v>
      </c>
      <c r="G9" s="9">
        <v>237.4</v>
      </c>
      <c r="I9" s="9">
        <v>65600</v>
      </c>
      <c r="K9" s="3" t="s">
        <v>94</v>
      </c>
      <c r="L9" s="74">
        <v>237.4</v>
      </c>
      <c r="M9" s="68">
        <f>L9/SUM($L$9:$L$10)</f>
        <v>0.003997009819107525</v>
      </c>
      <c r="N9" s="9">
        <f>M9*$I$9</f>
        <v>262.20384413345363</v>
      </c>
    </row>
    <row r="10" spans="2:14" s="11" customFormat="1" ht="24.75" customHeight="1" thickBot="1">
      <c r="B10" s="15"/>
      <c r="C10" s="15"/>
      <c r="D10" s="15"/>
      <c r="E10" s="15"/>
      <c r="F10" s="15"/>
      <c r="G10" s="15"/>
      <c r="H10" s="13"/>
      <c r="I10" s="15"/>
      <c r="J10" s="13"/>
      <c r="K10" s="12" t="s">
        <v>92</v>
      </c>
      <c r="L10" s="77">
        <v>59157</v>
      </c>
      <c r="M10" s="69">
        <f>L10/SUM($L$9:$L$10)</f>
        <v>0.9960029901808924</v>
      </c>
      <c r="N10" s="15">
        <f>M10*$I$9</f>
        <v>65337.79615586654</v>
      </c>
    </row>
    <row r="11" spans="1:14" ht="24.75" customHeight="1">
      <c r="A11">
        <v>1</v>
      </c>
      <c r="B11" s="9">
        <v>54109.5</v>
      </c>
      <c r="C11" s="9">
        <v>27377.5</v>
      </c>
      <c r="D11" s="9">
        <v>26732</v>
      </c>
      <c r="E11" s="9">
        <v>8904.7</v>
      </c>
      <c r="F11" s="9">
        <v>93.8</v>
      </c>
      <c r="G11" s="9">
        <v>17764.7</v>
      </c>
      <c r="I11" s="9">
        <v>54000</v>
      </c>
      <c r="K11" t="s">
        <v>94</v>
      </c>
      <c r="L11" s="74">
        <f>315.4+533.7+193.8+2221.6</f>
        <v>3264.5</v>
      </c>
      <c r="M11" s="4">
        <f aca="true" t="shared" si="2" ref="M11:M16">L11/SUM($L$11:$L$16)</f>
        <v>0.06507084140614411</v>
      </c>
      <c r="N11" s="9">
        <f aca="true" t="shared" si="3" ref="N11:N16">M11*$I$11</f>
        <v>3513.825435931782</v>
      </c>
    </row>
    <row r="12" spans="2:14" ht="24.75" customHeight="1">
      <c r="B12" s="9"/>
      <c r="C12" s="9"/>
      <c r="D12" s="9"/>
      <c r="E12" s="9"/>
      <c r="F12" s="9"/>
      <c r="G12" s="9"/>
      <c r="I12" s="9"/>
      <c r="K12" s="17" t="s">
        <v>95</v>
      </c>
      <c r="L12" s="74">
        <f>2919.9+673.1+679.3+5992.4</f>
        <v>10264.7</v>
      </c>
      <c r="M12" s="4">
        <f t="shared" si="2"/>
        <v>0.204604890728028</v>
      </c>
      <c r="N12" s="9">
        <f t="shared" si="3"/>
        <v>11048.664099313513</v>
      </c>
    </row>
    <row r="13" spans="2:14" ht="24.75" customHeight="1">
      <c r="B13" s="9"/>
      <c r="C13" s="9"/>
      <c r="D13" s="9"/>
      <c r="E13" s="9"/>
      <c r="F13" s="9"/>
      <c r="G13" s="9"/>
      <c r="I13" s="9"/>
      <c r="K13" s="3" t="s">
        <v>93</v>
      </c>
      <c r="L13" s="74">
        <f>2697.5+1538.1</f>
        <v>4235.6</v>
      </c>
      <c r="M13" s="4">
        <f t="shared" si="2"/>
        <v>0.084427647682605</v>
      </c>
      <c r="N13" s="9">
        <f t="shared" si="3"/>
        <v>4559.0929748606695</v>
      </c>
    </row>
    <row r="14" spans="2:14" ht="24.75" customHeight="1">
      <c r="B14" s="9"/>
      <c r="C14" s="9"/>
      <c r="D14" s="9"/>
      <c r="E14" s="9"/>
      <c r="F14" s="9"/>
      <c r="G14" s="9"/>
      <c r="I14" s="9"/>
      <c r="K14" s="3" t="s">
        <v>114</v>
      </c>
      <c r="L14" s="74">
        <v>4943</v>
      </c>
      <c r="M14" s="4">
        <f t="shared" si="2"/>
        <v>0.09852815716666267</v>
      </c>
      <c r="N14" s="9">
        <f t="shared" si="3"/>
        <v>5320.520486999784</v>
      </c>
    </row>
    <row r="15" spans="2:14" ht="24.75" customHeight="1">
      <c r="B15" s="9"/>
      <c r="C15" s="9"/>
      <c r="D15" s="9"/>
      <c r="E15" s="9"/>
      <c r="F15" s="9"/>
      <c r="G15" s="9"/>
      <c r="I15" s="9"/>
      <c r="K15" s="3" t="s">
        <v>96</v>
      </c>
      <c r="L15" s="74">
        <v>3368</v>
      </c>
      <c r="M15" s="4">
        <f t="shared" si="2"/>
        <v>0.06713389304821361</v>
      </c>
      <c r="N15" s="9">
        <f t="shared" si="3"/>
        <v>3625.230224603535</v>
      </c>
    </row>
    <row r="16" spans="8:14" s="11" customFormat="1" ht="24.75" customHeight="1" thickBot="1">
      <c r="H16" s="13"/>
      <c r="J16" s="13"/>
      <c r="K16" s="12" t="s">
        <v>92</v>
      </c>
      <c r="L16" s="77">
        <v>24092.6</v>
      </c>
      <c r="M16" s="14">
        <f t="shared" si="2"/>
        <v>0.48023456996834657</v>
      </c>
      <c r="N16" s="15">
        <f t="shared" si="3"/>
        <v>25932.666778290713</v>
      </c>
    </row>
    <row r="17" spans="1:14" s="21" customFormat="1" ht="24.75" customHeight="1" thickBot="1">
      <c r="A17" s="21">
        <v>2</v>
      </c>
      <c r="B17" s="33">
        <v>44281.3</v>
      </c>
      <c r="C17" s="33">
        <v>6028.6</v>
      </c>
      <c r="D17" s="33">
        <v>38252.7</v>
      </c>
      <c r="E17" s="33">
        <v>693.9</v>
      </c>
      <c r="F17" s="33">
        <v>2612.2</v>
      </c>
      <c r="G17" s="33">
        <v>34994</v>
      </c>
      <c r="H17" s="23"/>
      <c r="I17" s="25">
        <v>44281</v>
      </c>
      <c r="J17" s="23"/>
      <c r="K17" s="21" t="s">
        <v>95</v>
      </c>
      <c r="L17" s="78">
        <v>34994</v>
      </c>
      <c r="M17" s="26">
        <v>1</v>
      </c>
      <c r="N17" s="33">
        <f>M17*$I$17</f>
        <v>44281</v>
      </c>
    </row>
    <row r="18" spans="1:14" s="21" customFormat="1" ht="24.75" customHeight="1" thickBot="1">
      <c r="A18" s="21">
        <v>3</v>
      </c>
      <c r="B18" s="33">
        <v>44256.2</v>
      </c>
      <c r="C18" s="33">
        <v>1741.1</v>
      </c>
      <c r="D18" s="33">
        <v>42515.2</v>
      </c>
      <c r="E18" s="33">
        <v>0</v>
      </c>
      <c r="F18" s="33">
        <v>11137.5</v>
      </c>
      <c r="G18" s="33">
        <v>31377.7</v>
      </c>
      <c r="H18" s="23"/>
      <c r="I18" s="25">
        <v>44281</v>
      </c>
      <c r="J18" s="23"/>
      <c r="K18" s="21" t="s">
        <v>95</v>
      </c>
      <c r="L18" s="78">
        <v>31377.7</v>
      </c>
      <c r="M18" s="26">
        <v>1</v>
      </c>
      <c r="N18" s="33">
        <f>M18*$I$18</f>
        <v>44281</v>
      </c>
    </row>
    <row r="19" spans="1:14" s="21" customFormat="1" ht="24.75" customHeight="1" thickBot="1">
      <c r="A19" s="21">
        <v>4</v>
      </c>
      <c r="B19" s="33">
        <v>44281.3</v>
      </c>
      <c r="C19" s="33">
        <v>2101.9</v>
      </c>
      <c r="D19" s="33">
        <v>42179.4</v>
      </c>
      <c r="E19" s="33">
        <v>0</v>
      </c>
      <c r="F19" s="33">
        <v>9625.3</v>
      </c>
      <c r="G19" s="33">
        <v>32554.2</v>
      </c>
      <c r="H19" s="23"/>
      <c r="I19" s="25">
        <v>44281</v>
      </c>
      <c r="J19" s="23"/>
      <c r="K19" s="22" t="s">
        <v>95</v>
      </c>
      <c r="L19" s="78">
        <v>32554.2</v>
      </c>
      <c r="M19" s="26">
        <v>1</v>
      </c>
      <c r="N19" s="33">
        <f>M19*$I$19</f>
        <v>44281</v>
      </c>
    </row>
    <row r="20" spans="1:14" s="21" customFormat="1" ht="24.75" customHeight="1" thickBot="1">
      <c r="A20" s="21">
        <v>5</v>
      </c>
      <c r="B20" s="33">
        <v>44281.3</v>
      </c>
      <c r="C20" s="33">
        <v>2184.3</v>
      </c>
      <c r="D20" s="33">
        <v>42097</v>
      </c>
      <c r="E20" s="33">
        <v>0</v>
      </c>
      <c r="F20" s="33">
        <v>2409.7</v>
      </c>
      <c r="G20" s="33">
        <v>39687.4</v>
      </c>
      <c r="H20" s="23"/>
      <c r="I20" s="25">
        <v>44281</v>
      </c>
      <c r="J20" s="23"/>
      <c r="K20" s="22" t="s">
        <v>94</v>
      </c>
      <c r="L20" s="78">
        <v>39687.4</v>
      </c>
      <c r="M20" s="26">
        <v>1</v>
      </c>
      <c r="N20" s="33">
        <f>M20*$I$20</f>
        <v>44281</v>
      </c>
    </row>
    <row r="21" spans="1:14" s="21" customFormat="1" ht="24.75" customHeight="1" thickBot="1">
      <c r="A21" s="21">
        <v>6</v>
      </c>
      <c r="B21" s="33">
        <v>44281.3</v>
      </c>
      <c r="C21" s="33">
        <v>2219.7</v>
      </c>
      <c r="D21" s="33">
        <v>42061.6</v>
      </c>
      <c r="E21" s="33">
        <v>0</v>
      </c>
      <c r="F21" s="33">
        <v>10279.8</v>
      </c>
      <c r="G21" s="33">
        <v>31781.8</v>
      </c>
      <c r="H21" s="23"/>
      <c r="I21" s="25">
        <v>44281</v>
      </c>
      <c r="J21" s="23"/>
      <c r="K21" s="22" t="s">
        <v>94</v>
      </c>
      <c r="L21" s="78">
        <v>31781.8</v>
      </c>
      <c r="M21" s="26">
        <v>1</v>
      </c>
      <c r="N21" s="33">
        <f>M21*$I$21</f>
        <v>44281</v>
      </c>
    </row>
    <row r="22" spans="1:14" s="17" customFormat="1" ht="24.75" customHeight="1">
      <c r="A22" s="17">
        <v>7</v>
      </c>
      <c r="B22" s="46">
        <v>44281.3</v>
      </c>
      <c r="C22" s="46">
        <v>2190.7</v>
      </c>
      <c r="D22" s="46">
        <v>42090.6</v>
      </c>
      <c r="E22" s="46">
        <v>835.8</v>
      </c>
      <c r="F22" s="46">
        <v>10096.2</v>
      </c>
      <c r="G22" s="46">
        <v>31359.1</v>
      </c>
      <c r="H22" s="18"/>
      <c r="I22" s="20">
        <v>44281</v>
      </c>
      <c r="J22" s="18"/>
      <c r="K22" s="3" t="s">
        <v>94</v>
      </c>
      <c r="L22" s="79">
        <v>31359.1</v>
      </c>
      <c r="M22" s="45">
        <f>L22/SUM($L$22:$L$23)</f>
        <v>0.9811339054692901</v>
      </c>
      <c r="N22" s="46">
        <f>M22*$I$22</f>
        <v>43445.59046808563</v>
      </c>
    </row>
    <row r="23" spans="2:14" s="11" customFormat="1" ht="24.75" customHeight="1" thickBot="1">
      <c r="B23" s="15"/>
      <c r="C23" s="15"/>
      <c r="D23" s="15"/>
      <c r="E23" s="15"/>
      <c r="F23" s="15"/>
      <c r="G23" s="15"/>
      <c r="H23" s="13"/>
      <c r="I23" s="29"/>
      <c r="J23" s="13"/>
      <c r="K23" s="12" t="s">
        <v>97</v>
      </c>
      <c r="L23" s="77">
        <v>603</v>
      </c>
      <c r="M23" s="14">
        <f>L23/SUM($L$22:$L$23)</f>
        <v>0.01886609453070981</v>
      </c>
      <c r="N23" s="15">
        <f>M23*$I$22</f>
        <v>835.4095319143611</v>
      </c>
    </row>
    <row r="24" spans="1:14" ht="24.75" customHeight="1">
      <c r="A24">
        <v>8</v>
      </c>
      <c r="B24" s="9">
        <v>29711.1</v>
      </c>
      <c r="C24" s="9">
        <v>1760.6</v>
      </c>
      <c r="D24" s="9">
        <v>27950.5</v>
      </c>
      <c r="E24" s="9">
        <v>4710.6</v>
      </c>
      <c r="F24" s="9">
        <v>5880.8</v>
      </c>
      <c r="G24" s="9">
        <v>18350.2</v>
      </c>
      <c r="I24" s="20">
        <v>29711</v>
      </c>
      <c r="K24" s="3" t="s">
        <v>95</v>
      </c>
      <c r="L24" s="74">
        <v>18350.2</v>
      </c>
      <c r="M24" s="4">
        <f>L24/SUM($L$24:$L$25)</f>
        <v>0.8328431639525806</v>
      </c>
      <c r="N24" s="9">
        <f>M24*$I$24</f>
        <v>24744.60324419512</v>
      </c>
    </row>
    <row r="25" spans="11:14" ht="24.75" customHeight="1">
      <c r="K25" s="3" t="s">
        <v>46</v>
      </c>
      <c r="L25" s="74">
        <v>3683</v>
      </c>
      <c r="M25" s="4">
        <f>L25/SUM($L$24:$L$25)</f>
        <v>0.16715683604741935</v>
      </c>
      <c r="N25" s="9">
        <f>M25*$I$24</f>
        <v>4966.396755804876</v>
      </c>
    </row>
  </sheetData>
  <mergeCells count="2">
    <mergeCell ref="B1:G1"/>
    <mergeCell ref="L1:N1"/>
  </mergeCells>
  <printOptions gridLines="1"/>
  <pageMargins left="0.75" right="0.75" top="1" bottom="1" header="0.5" footer="0.5"/>
  <pageSetup fitToHeight="1" fitToWidth="1" horizontalDpi="600" verticalDpi="600" orientation="landscape" scale="73" r:id="rId1"/>
  <headerFooter alignWithMargins="0">
    <oddHeader>&amp;C&amp;A</oddHeader>
    <oddFooter>&amp;L&amp;A&amp;F
klk
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30"/>
  <sheetViews>
    <sheetView workbookViewId="0" topLeftCell="G1">
      <selection activeCell="G8" sqref="G8"/>
    </sheetView>
  </sheetViews>
  <sheetFormatPr defaultColWidth="9.140625" defaultRowHeight="12.75"/>
  <cols>
    <col min="1" max="1" width="9.140625" style="34" customWidth="1"/>
    <col min="2" max="2" width="10.00390625" style="0" customWidth="1"/>
    <col min="4" max="4" width="10.7109375" style="0" customWidth="1"/>
    <col min="5" max="5" width="8.8515625" style="0" customWidth="1"/>
    <col min="6" max="6" width="11.421875" style="0" customWidth="1"/>
    <col min="7" max="7" width="11.00390625" style="0" customWidth="1"/>
    <col min="8" max="8" width="2.28125" style="7" customWidth="1"/>
    <col min="9" max="9" width="15.421875" style="0" customWidth="1"/>
    <col min="10" max="10" width="5.421875" style="44" customWidth="1"/>
    <col min="11" max="11" width="33.57421875" style="0" customWidth="1"/>
    <col min="12" max="12" width="14.28125" style="0" customWidth="1"/>
    <col min="13" max="13" width="13.7109375" style="0" customWidth="1"/>
    <col min="14" max="14" width="14.140625" style="0" customWidth="1"/>
  </cols>
  <sheetData>
    <row r="1" spans="1:14" ht="29.25" customHeight="1">
      <c r="A1"/>
      <c r="B1" s="85" t="s">
        <v>5</v>
      </c>
      <c r="C1" s="85"/>
      <c r="D1" s="85"/>
      <c r="E1" s="85"/>
      <c r="F1" s="85"/>
      <c r="G1" s="85"/>
      <c r="H1" s="8"/>
      <c r="I1" s="31"/>
      <c r="J1" s="40"/>
      <c r="K1" s="35"/>
      <c r="L1" s="85"/>
      <c r="M1" s="85"/>
      <c r="N1" s="85"/>
    </row>
    <row r="2" spans="1:14" s="1" customFormat="1" ht="57" customHeight="1">
      <c r="A2" s="1" t="s">
        <v>32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6</v>
      </c>
      <c r="H2" s="6"/>
      <c r="I2" s="32" t="s">
        <v>31</v>
      </c>
      <c r="J2" s="41"/>
      <c r="K2" s="36"/>
      <c r="L2" s="70" t="s">
        <v>16</v>
      </c>
      <c r="M2" s="1" t="s">
        <v>17</v>
      </c>
      <c r="N2" s="1" t="s">
        <v>18</v>
      </c>
    </row>
    <row r="3" spans="1:14" ht="24.75" customHeight="1">
      <c r="A3" s="34">
        <v>1</v>
      </c>
      <c r="B3" s="9">
        <v>29558</v>
      </c>
      <c r="C3" s="9">
        <v>1036.4</v>
      </c>
      <c r="D3" s="9">
        <v>28521.9</v>
      </c>
      <c r="E3" s="9">
        <v>18816.2</v>
      </c>
      <c r="F3" s="9">
        <v>1449.7</v>
      </c>
      <c r="G3" s="9">
        <v>9212.5</v>
      </c>
      <c r="H3" s="37"/>
      <c r="I3" s="9">
        <v>29500</v>
      </c>
      <c r="J3" s="42"/>
      <c r="K3" s="9" t="s">
        <v>41</v>
      </c>
      <c r="L3" s="74">
        <v>526</v>
      </c>
      <c r="M3" s="4">
        <f>L3/SUM($L$3:$L$10)</f>
        <v>0.019691155825924192</v>
      </c>
      <c r="N3" s="9">
        <f>M3*$I$3</f>
        <v>580.8890968647637</v>
      </c>
    </row>
    <row r="4" spans="2:14" ht="24.75" customHeight="1">
      <c r="B4" s="9"/>
      <c r="C4" s="9"/>
      <c r="D4" s="9"/>
      <c r="E4" s="9"/>
      <c r="F4" s="9"/>
      <c r="G4" s="9"/>
      <c r="H4" s="37"/>
      <c r="I4" s="9"/>
      <c r="J4" s="42"/>
      <c r="K4" s="9" t="s">
        <v>39</v>
      </c>
      <c r="L4" s="74">
        <v>418</v>
      </c>
      <c r="M4" s="4">
        <f aca="true" t="shared" si="0" ref="M4:M10">L4/SUM($L$3:$L$10)</f>
        <v>0.0156481048198409</v>
      </c>
      <c r="N4" s="9">
        <f aca="true" t="shared" si="1" ref="N4:N10">M4*$I$3</f>
        <v>461.61909218530656</v>
      </c>
    </row>
    <row r="5" spans="2:14" ht="24.75" customHeight="1">
      <c r="B5" s="9"/>
      <c r="C5" s="9"/>
      <c r="D5" s="9"/>
      <c r="E5" s="9"/>
      <c r="F5" s="9"/>
      <c r="G5" s="9"/>
      <c r="H5" s="37"/>
      <c r="I5" s="9"/>
      <c r="J5" s="42"/>
      <c r="K5" s="9" t="s">
        <v>40</v>
      </c>
      <c r="L5" s="74">
        <f>815.3+2254.8</f>
        <v>3070.1000000000004</v>
      </c>
      <c r="M5" s="4">
        <f t="shared" si="0"/>
        <v>0.1149312119794104</v>
      </c>
      <c r="N5" s="9">
        <f t="shared" si="1"/>
        <v>3390.470753392607</v>
      </c>
    </row>
    <row r="6" spans="2:14" ht="24.75" customHeight="1">
      <c r="B6" s="9"/>
      <c r="C6" s="9"/>
      <c r="D6" s="9"/>
      <c r="E6" s="9"/>
      <c r="F6" s="9"/>
      <c r="G6" s="9"/>
      <c r="H6" s="37"/>
      <c r="I6" s="9"/>
      <c r="J6" s="42"/>
      <c r="K6" s="9" t="s">
        <v>42</v>
      </c>
      <c r="L6" s="74">
        <f>662.9+461.5+621.7</f>
        <v>1746.1000000000001</v>
      </c>
      <c r="M6" s="4">
        <f t="shared" si="0"/>
        <v>0.0653664014974263</v>
      </c>
      <c r="N6" s="9">
        <f t="shared" si="1"/>
        <v>1928.3088441740758</v>
      </c>
    </row>
    <row r="7" spans="2:14" ht="24.75" customHeight="1">
      <c r="B7" s="9"/>
      <c r="C7" s="9"/>
      <c r="D7" s="9"/>
      <c r="E7" s="9"/>
      <c r="F7" s="9"/>
      <c r="G7" s="9"/>
      <c r="H7" s="37"/>
      <c r="I7" s="9"/>
      <c r="J7" s="42"/>
      <c r="K7" s="9" t="s">
        <v>58</v>
      </c>
      <c r="L7" s="74">
        <v>1776</v>
      </c>
      <c r="M7" s="4">
        <f t="shared" si="0"/>
        <v>0.06648572765559195</v>
      </c>
      <c r="N7" s="9">
        <f t="shared" si="1"/>
        <v>1961.3289658399626</v>
      </c>
    </row>
    <row r="8" spans="2:14" ht="24.75" customHeight="1">
      <c r="B8" s="9"/>
      <c r="C8" s="9"/>
      <c r="D8" s="9"/>
      <c r="E8" s="9"/>
      <c r="F8" s="9"/>
      <c r="G8" s="9"/>
      <c r="H8" s="37"/>
      <c r="I8" s="9"/>
      <c r="J8" s="42"/>
      <c r="K8" s="9" t="s">
        <v>43</v>
      </c>
      <c r="L8" s="74">
        <v>1428.9</v>
      </c>
      <c r="M8" s="4">
        <f t="shared" si="0"/>
        <v>0.05349181094992981</v>
      </c>
      <c r="N8" s="9">
        <f t="shared" si="1"/>
        <v>1578.0084230229293</v>
      </c>
    </row>
    <row r="9" spans="2:14" ht="24.75" customHeight="1">
      <c r="B9" s="9"/>
      <c r="C9" s="9"/>
      <c r="D9" s="9"/>
      <c r="E9" s="9"/>
      <c r="F9" s="9"/>
      <c r="G9" s="9"/>
      <c r="H9" s="37"/>
      <c r="I9" s="9"/>
      <c r="J9" s="42"/>
      <c r="K9" s="9" t="s">
        <v>44</v>
      </c>
      <c r="L9" s="74">
        <v>247.4</v>
      </c>
      <c r="M9" s="4">
        <f t="shared" si="0"/>
        <v>0.009261581656527842</v>
      </c>
      <c r="N9" s="9">
        <f t="shared" si="1"/>
        <v>273.21665886757137</v>
      </c>
    </row>
    <row r="10" spans="1:14" s="11" customFormat="1" ht="24.75" customHeight="1" thickBot="1">
      <c r="A10" s="47"/>
      <c r="B10" s="15"/>
      <c r="C10" s="15"/>
      <c r="D10" s="15"/>
      <c r="E10" s="15"/>
      <c r="F10" s="15"/>
      <c r="G10" s="15"/>
      <c r="H10" s="48"/>
      <c r="I10" s="15"/>
      <c r="J10" s="49"/>
      <c r="K10" s="15" t="s">
        <v>47</v>
      </c>
      <c r="L10" s="77">
        <v>17500</v>
      </c>
      <c r="M10" s="14">
        <f t="shared" si="0"/>
        <v>0.6551240056153487</v>
      </c>
      <c r="N10" s="15">
        <f t="shared" si="1"/>
        <v>19326.158165652785</v>
      </c>
    </row>
    <row r="11" spans="1:14" ht="24.75" customHeight="1">
      <c r="A11" s="34">
        <v>2</v>
      </c>
      <c r="B11" s="39">
        <v>15199</v>
      </c>
      <c r="C11" s="9">
        <v>1759.4</v>
      </c>
      <c r="D11" s="9">
        <v>13439.2</v>
      </c>
      <c r="E11" s="39">
        <v>6379.7</v>
      </c>
      <c r="F11" s="9">
        <v>109.7</v>
      </c>
      <c r="G11" s="39">
        <v>7001.9</v>
      </c>
      <c r="H11" s="38"/>
      <c r="I11" s="39">
        <v>15000</v>
      </c>
      <c r="J11" s="43"/>
      <c r="K11" s="50" t="s">
        <v>35</v>
      </c>
      <c r="L11" s="74">
        <f>780.5+2786.9+254.7</f>
        <v>3822.1</v>
      </c>
      <c r="M11" s="51">
        <f>L11/SUM($L$11:$L$13)</f>
        <v>0.39077181036509934</v>
      </c>
      <c r="N11" s="20">
        <f>M11*$I$11</f>
        <v>5861.57715547649</v>
      </c>
    </row>
    <row r="12" spans="2:14" ht="24.75" customHeight="1">
      <c r="B12" s="39"/>
      <c r="C12" s="9"/>
      <c r="D12" s="9"/>
      <c r="E12" s="39"/>
      <c r="F12" s="9"/>
      <c r="G12" s="39"/>
      <c r="H12" s="38"/>
      <c r="I12" s="39"/>
      <c r="J12" s="43"/>
      <c r="K12" s="50" t="s">
        <v>45</v>
      </c>
      <c r="L12" s="74">
        <v>3179.8</v>
      </c>
      <c r="M12" s="51">
        <f>L12/SUM($L$11:$L$13)</f>
        <v>0.32510300688075744</v>
      </c>
      <c r="N12" s="20">
        <f>M12*$I$11</f>
        <v>4876.5451032113615</v>
      </c>
    </row>
    <row r="13" spans="1:14" s="11" customFormat="1" ht="24.75" customHeight="1" thickBot="1">
      <c r="A13" s="47"/>
      <c r="B13" s="52"/>
      <c r="C13" s="15"/>
      <c r="D13" s="15"/>
      <c r="E13" s="52"/>
      <c r="F13" s="15"/>
      <c r="G13" s="52"/>
      <c r="H13" s="53"/>
      <c r="I13" s="52"/>
      <c r="J13" s="54"/>
      <c r="K13" s="55" t="s">
        <v>46</v>
      </c>
      <c r="L13" s="77">
        <v>2779</v>
      </c>
      <c r="M13" s="56">
        <f>L13/SUM($L$11:$L$13)</f>
        <v>0.2841251827541433</v>
      </c>
      <c r="N13" s="29">
        <f>M13*$I$11</f>
        <v>4261.877741312149</v>
      </c>
    </row>
    <row r="14" spans="1:14" ht="24.75" customHeight="1">
      <c r="A14" s="34">
        <v>3</v>
      </c>
      <c r="B14" s="9">
        <v>20782.7</v>
      </c>
      <c r="C14" s="9">
        <v>1742.8</v>
      </c>
      <c r="D14" s="9">
        <v>19039.9</v>
      </c>
      <c r="E14" s="9">
        <v>0</v>
      </c>
      <c r="F14" s="9">
        <v>2376.1</v>
      </c>
      <c r="G14" s="9">
        <v>1663.8</v>
      </c>
      <c r="H14" s="38"/>
      <c r="I14" s="9">
        <v>21000</v>
      </c>
      <c r="J14" s="42"/>
      <c r="K14" s="9" t="s">
        <v>48</v>
      </c>
      <c r="L14" s="74">
        <v>8378.6</v>
      </c>
      <c r="M14" s="4">
        <f>L14/SUM($L$14:$L$15)</f>
        <v>0.5028024820269086</v>
      </c>
      <c r="N14" s="9">
        <f>M14*$I$14</f>
        <v>10558.85212256508</v>
      </c>
    </row>
    <row r="15" spans="1:14" s="11" customFormat="1" ht="24.75" customHeight="1" thickBot="1">
      <c r="A15" s="47"/>
      <c r="B15" s="52"/>
      <c r="C15" s="15"/>
      <c r="D15" s="15"/>
      <c r="E15" s="52"/>
      <c r="F15" s="15"/>
      <c r="G15" s="52"/>
      <c r="H15" s="53"/>
      <c r="I15" s="52"/>
      <c r="J15" s="54"/>
      <c r="K15" s="55" t="s">
        <v>49</v>
      </c>
      <c r="L15" s="77">
        <v>8285.2</v>
      </c>
      <c r="M15" s="14">
        <f>L15/SUM($L$14:$L$15)</f>
        <v>0.4971975179730913</v>
      </c>
      <c r="N15" s="15">
        <f>M15*$I$14</f>
        <v>10441.147877434918</v>
      </c>
    </row>
    <row r="16" spans="1:14" ht="24.75" customHeight="1">
      <c r="A16" s="34">
        <v>4</v>
      </c>
      <c r="B16" s="9">
        <v>25793.3</v>
      </c>
      <c r="C16" s="39">
        <v>1764.1</v>
      </c>
      <c r="D16" s="9">
        <v>24029.3</v>
      </c>
      <c r="E16" s="9">
        <v>3688.4</v>
      </c>
      <c r="F16" s="9">
        <v>434.6</v>
      </c>
      <c r="G16" s="9">
        <v>19972.9</v>
      </c>
      <c r="H16" s="37"/>
      <c r="I16" s="9">
        <v>25760</v>
      </c>
      <c r="J16" s="42"/>
      <c r="K16" s="9" t="s">
        <v>49</v>
      </c>
      <c r="L16" s="74">
        <f>8660.1+774.2</f>
        <v>9434.300000000001</v>
      </c>
      <c r="M16" s="4">
        <f>L16/SUM($L$16:$L$17)</f>
        <v>0.47235504108066434</v>
      </c>
      <c r="N16" s="9">
        <f>M16*$I$16</f>
        <v>12167.865858237914</v>
      </c>
    </row>
    <row r="17" spans="1:14" s="11" customFormat="1" ht="24.75" customHeight="1" thickBot="1">
      <c r="A17" s="47"/>
      <c r="B17" s="52"/>
      <c r="C17" s="15"/>
      <c r="D17" s="15"/>
      <c r="E17" s="52"/>
      <c r="F17" s="15"/>
      <c r="G17" s="52"/>
      <c r="H17" s="53"/>
      <c r="I17" s="52"/>
      <c r="J17" s="54"/>
      <c r="K17" s="55" t="s">
        <v>34</v>
      </c>
      <c r="L17" s="77">
        <v>10538.6</v>
      </c>
      <c r="M17" s="14">
        <f>L17/SUM($L$16:$L$17)</f>
        <v>0.5276449589193357</v>
      </c>
      <c r="N17" s="15">
        <f>M17*$I$16</f>
        <v>13592.134141762088</v>
      </c>
    </row>
    <row r="18" spans="1:14" ht="24.75" customHeight="1">
      <c r="A18" s="34">
        <v>5</v>
      </c>
      <c r="B18" s="9">
        <v>25760.2</v>
      </c>
      <c r="C18" s="9">
        <v>1765.1</v>
      </c>
      <c r="D18" s="9">
        <v>23995.1</v>
      </c>
      <c r="E18" s="39">
        <v>0</v>
      </c>
      <c r="F18" s="9">
        <v>2981.2</v>
      </c>
      <c r="G18" s="9">
        <v>21013.8</v>
      </c>
      <c r="H18" s="38"/>
      <c r="I18" s="9">
        <v>25760</v>
      </c>
      <c r="J18" s="42"/>
      <c r="K18" s="9" t="s">
        <v>52</v>
      </c>
      <c r="L18" s="79">
        <v>5346.7</v>
      </c>
      <c r="M18" s="4">
        <f>L18/SUM($L$18:$L$21)</f>
        <v>0.2544375600795668</v>
      </c>
      <c r="N18" s="9">
        <f>M18*$I$18</f>
        <v>6554.3115476496405</v>
      </c>
    </row>
    <row r="19" spans="2:14" ht="24.75" customHeight="1">
      <c r="B19" s="9"/>
      <c r="C19" s="9"/>
      <c r="D19" s="9"/>
      <c r="E19" s="39"/>
      <c r="F19" s="9"/>
      <c r="G19" s="9"/>
      <c r="H19" s="38"/>
      <c r="I19" s="9"/>
      <c r="J19" s="42"/>
      <c r="K19" s="19" t="s">
        <v>49</v>
      </c>
      <c r="L19" s="73">
        <f>10917.4+604.3</f>
        <v>11521.699999999999</v>
      </c>
      <c r="M19" s="4">
        <f>L19/SUM($L$18:$L$21)</f>
        <v>0.5482920747318429</v>
      </c>
      <c r="N19" s="9">
        <f>M19*$I$18</f>
        <v>14124.003845092275</v>
      </c>
    </row>
    <row r="20" spans="2:14" ht="24.75" customHeight="1">
      <c r="B20" s="9"/>
      <c r="C20" s="9"/>
      <c r="D20" s="9"/>
      <c r="E20" s="39"/>
      <c r="F20" s="9"/>
      <c r="G20" s="9"/>
      <c r="H20" s="38"/>
      <c r="I20" s="9"/>
      <c r="J20" s="42"/>
      <c r="K20" s="9" t="s">
        <v>53</v>
      </c>
      <c r="L20" s="79">
        <v>3419.3</v>
      </c>
      <c r="M20" s="4">
        <f>L20/SUM($L$18:$L$21)</f>
        <v>0.1627168812875349</v>
      </c>
      <c r="N20" s="9">
        <f>M20*$I$18</f>
        <v>4191.586861966899</v>
      </c>
    </row>
    <row r="21" spans="1:14" s="11" customFormat="1" ht="24.75" customHeight="1" thickBot="1">
      <c r="A21" s="47"/>
      <c r="B21" s="52"/>
      <c r="C21" s="15"/>
      <c r="D21" s="15"/>
      <c r="E21" s="52"/>
      <c r="F21" s="15"/>
      <c r="G21" s="52"/>
      <c r="H21" s="53"/>
      <c r="I21" s="52"/>
      <c r="J21" s="54"/>
      <c r="K21" s="11" t="s">
        <v>54</v>
      </c>
      <c r="L21" s="71">
        <v>726.1</v>
      </c>
      <c r="M21" s="14">
        <f>L21/SUM($L$18:$L$21)</f>
        <v>0.034553483901055504</v>
      </c>
      <c r="N21" s="15">
        <f>M21*$I$18</f>
        <v>890.0977452911898</v>
      </c>
    </row>
    <row r="22" spans="1:14" ht="24.75" customHeight="1">
      <c r="A22" s="34">
        <v>6</v>
      </c>
      <c r="B22" s="9">
        <v>25760.3</v>
      </c>
      <c r="C22" s="9">
        <v>1771.7</v>
      </c>
      <c r="D22" s="9">
        <v>23988.5</v>
      </c>
      <c r="E22" s="9">
        <v>0</v>
      </c>
      <c r="F22" s="9">
        <v>2685.7</v>
      </c>
      <c r="G22" s="9">
        <v>21302.9</v>
      </c>
      <c r="H22" s="37"/>
      <c r="I22" s="9">
        <v>25760</v>
      </c>
      <c r="J22" s="42"/>
      <c r="K22" s="9" t="s">
        <v>50</v>
      </c>
      <c r="L22" s="74">
        <v>20071.1</v>
      </c>
      <c r="M22" s="4">
        <f>L22/SUM($L$22:$L$23)</f>
        <v>0.9421813094992207</v>
      </c>
      <c r="N22" s="9">
        <f>M22*$I$22</f>
        <v>24270.590532699927</v>
      </c>
    </row>
    <row r="23" spans="1:14" s="11" customFormat="1" ht="24.75" customHeight="1" thickBot="1">
      <c r="A23" s="47"/>
      <c r="B23" s="52"/>
      <c r="C23" s="15"/>
      <c r="D23" s="15"/>
      <c r="E23" s="52"/>
      <c r="F23" s="15"/>
      <c r="G23" s="52"/>
      <c r="H23" s="53"/>
      <c r="I23" s="52"/>
      <c r="J23" s="54"/>
      <c r="K23" s="55" t="s">
        <v>51</v>
      </c>
      <c r="L23" s="77">
        <v>1231.7</v>
      </c>
      <c r="M23" s="14">
        <f>L23/SUM($L$22:$L$23)</f>
        <v>0.05781869050077924</v>
      </c>
      <c r="N23" s="15">
        <f>M23*$I$22</f>
        <v>1489.4094673000734</v>
      </c>
    </row>
    <row r="24" spans="1:14" s="21" customFormat="1" ht="24.75" customHeight="1" thickBot="1">
      <c r="A24" s="57">
        <v>7</v>
      </c>
      <c r="B24" s="33">
        <v>25760.3</v>
      </c>
      <c r="C24" s="33">
        <v>1783.9</v>
      </c>
      <c r="D24" s="33">
        <v>23976.3</v>
      </c>
      <c r="E24" s="33">
        <v>0</v>
      </c>
      <c r="F24" s="33">
        <v>2557.2</v>
      </c>
      <c r="G24" s="33">
        <v>21419.1</v>
      </c>
      <c r="H24" s="58"/>
      <c r="I24" s="33">
        <v>25760</v>
      </c>
      <c r="J24" s="59"/>
      <c r="K24" s="33" t="s">
        <v>38</v>
      </c>
      <c r="L24" s="78">
        <v>23976.3</v>
      </c>
      <c r="M24" s="26">
        <v>1</v>
      </c>
      <c r="N24" s="21">
        <f>M24*I24</f>
        <v>25760</v>
      </c>
    </row>
    <row r="25" spans="1:14" ht="24.75" customHeight="1">
      <c r="A25" s="34">
        <v>8</v>
      </c>
      <c r="B25" s="9">
        <v>25785.4</v>
      </c>
      <c r="C25" s="9">
        <v>1793.9</v>
      </c>
      <c r="D25" s="9">
        <v>23964.5</v>
      </c>
      <c r="E25" s="9">
        <v>0</v>
      </c>
      <c r="F25" s="9">
        <v>2474.2</v>
      </c>
      <c r="G25" s="9">
        <v>21490.3</v>
      </c>
      <c r="I25" s="9">
        <v>25760</v>
      </c>
      <c r="K25" s="20" t="s">
        <v>38</v>
      </c>
      <c r="L25" s="73">
        <f>181.1+11370.1+434</f>
        <v>11985.2</v>
      </c>
      <c r="M25" s="4">
        <f>L25/SUM($L$25:$L$27)</f>
        <v>0.5577027775321889</v>
      </c>
      <c r="N25" s="9">
        <f>M25*$I$25</f>
        <v>14366.423549229186</v>
      </c>
    </row>
    <row r="26" spans="2:14" ht="24.75" customHeight="1">
      <c r="B26" s="39"/>
      <c r="C26" s="9"/>
      <c r="D26" s="9"/>
      <c r="E26" s="39"/>
      <c r="F26" s="9"/>
      <c r="G26" s="39"/>
      <c r="H26" s="38"/>
      <c r="I26" s="39"/>
      <c r="J26" s="43"/>
      <c r="K26" s="50" t="s">
        <v>35</v>
      </c>
      <c r="L26" s="74">
        <v>4818.1</v>
      </c>
      <c r="M26" s="4">
        <f>L26/SUM($L$25:$L$27)</f>
        <v>0.22419882458597598</v>
      </c>
      <c r="N26" s="9">
        <f>M26*$I$25</f>
        <v>5775.361721334742</v>
      </c>
    </row>
    <row r="27" spans="1:14" s="11" customFormat="1" ht="24.75" customHeight="1" thickBot="1">
      <c r="A27" s="47"/>
      <c r="B27" s="52"/>
      <c r="C27" s="15"/>
      <c r="D27" s="15"/>
      <c r="E27" s="52"/>
      <c r="F27" s="15"/>
      <c r="G27" s="52"/>
      <c r="H27" s="53"/>
      <c r="I27" s="52"/>
      <c r="J27" s="54"/>
      <c r="K27" s="55" t="s">
        <v>55</v>
      </c>
      <c r="L27" s="77">
        <v>4687</v>
      </c>
      <c r="M27" s="4">
        <f>L27/SUM($L$25:$L$27)</f>
        <v>0.21809839788183502</v>
      </c>
      <c r="N27" s="9">
        <f>M27*$I$25</f>
        <v>5618.21472943607</v>
      </c>
    </row>
    <row r="28" spans="1:14" ht="24.75" customHeight="1">
      <c r="A28" s="34">
        <v>9</v>
      </c>
      <c r="B28" s="9">
        <v>24964</v>
      </c>
      <c r="C28" s="9">
        <v>925.6</v>
      </c>
      <c r="D28" s="9">
        <v>24038.4</v>
      </c>
      <c r="E28" s="9">
        <v>0</v>
      </c>
      <c r="F28" s="9">
        <v>2082.1</v>
      </c>
      <c r="G28" s="9">
        <v>21956.3</v>
      </c>
      <c r="I28" s="9">
        <v>25760</v>
      </c>
      <c r="K28" s="19" t="s">
        <v>56</v>
      </c>
      <c r="L28" s="79">
        <v>21956.3</v>
      </c>
      <c r="M28" s="4">
        <v>1</v>
      </c>
      <c r="N28">
        <f>M28*I28</f>
        <v>25760</v>
      </c>
    </row>
    <row r="29" spans="2:7" ht="12.75">
      <c r="B29" s="9"/>
      <c r="C29" s="9"/>
      <c r="D29" s="9"/>
      <c r="E29" s="9"/>
      <c r="F29" s="9"/>
      <c r="G29" s="9"/>
    </row>
    <row r="30" spans="2:7" ht="12.75">
      <c r="B30" s="9"/>
      <c r="C30" s="9"/>
      <c r="D30" s="9"/>
      <c r="E30" s="9"/>
      <c r="F30" s="9"/>
      <c r="G30" s="9"/>
    </row>
  </sheetData>
  <mergeCells count="2">
    <mergeCell ref="B1:G1"/>
    <mergeCell ref="L1:N1"/>
  </mergeCells>
  <printOptions gridLines="1"/>
  <pageMargins left="0.75" right="0.75" top="1" bottom="1" header="0.5" footer="0.5"/>
  <pageSetup fitToHeight="1" fitToWidth="1" horizontalDpi="600" verticalDpi="600" orientation="landscape" scale="63" r:id="rId3"/>
  <headerFooter alignWithMargins="0">
    <oddHeader>&amp;C&amp;A</oddHeader>
    <oddFooter>&amp;L&amp;A&amp;F
klk
&amp;D&amp;T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workbookViewId="0" topLeftCell="E1">
      <selection activeCell="L12" sqref="L12"/>
    </sheetView>
  </sheetViews>
  <sheetFormatPr defaultColWidth="9.140625" defaultRowHeight="12.75"/>
  <cols>
    <col min="1" max="1" width="16.28125" style="0" customWidth="1"/>
    <col min="8" max="8" width="9.140625" style="7" customWidth="1"/>
    <col min="9" max="9" width="15.57421875" style="0" customWidth="1"/>
    <col min="10" max="10" width="9.140625" style="7" customWidth="1"/>
    <col min="11" max="11" width="46.57421875" style="0" customWidth="1"/>
    <col min="12" max="12" width="16.140625" style="84" customWidth="1"/>
    <col min="13" max="13" width="18.421875" style="0" customWidth="1"/>
    <col min="14" max="14" width="15.8515625" style="0" customWidth="1"/>
  </cols>
  <sheetData>
    <row r="1" spans="2:14" ht="29.25" customHeight="1">
      <c r="B1" s="85" t="s">
        <v>5</v>
      </c>
      <c r="C1" s="85"/>
      <c r="D1" s="85"/>
      <c r="E1" s="85"/>
      <c r="F1" s="85"/>
      <c r="G1" s="85"/>
      <c r="H1" s="8"/>
      <c r="I1" s="31"/>
      <c r="J1" s="40"/>
      <c r="K1" s="35"/>
      <c r="L1" s="85"/>
      <c r="M1" s="85"/>
      <c r="N1" s="85"/>
    </row>
    <row r="2" spans="1:14" s="1" customFormat="1" ht="57" customHeight="1">
      <c r="A2" s="1" t="s">
        <v>32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6</v>
      </c>
      <c r="H2" s="6"/>
      <c r="I2" s="32" t="s">
        <v>31</v>
      </c>
      <c r="J2" s="41"/>
      <c r="K2" s="36"/>
      <c r="L2" s="80" t="s">
        <v>16</v>
      </c>
      <c r="M2" s="1" t="s">
        <v>17</v>
      </c>
      <c r="N2" s="1" t="s">
        <v>18</v>
      </c>
    </row>
    <row r="3" spans="1:14" ht="19.5" customHeight="1">
      <c r="A3" t="s">
        <v>77</v>
      </c>
      <c r="B3" s="9">
        <v>44541.9</v>
      </c>
      <c r="C3" s="9">
        <v>2061.4</v>
      </c>
      <c r="D3" s="9">
        <v>42480.5</v>
      </c>
      <c r="E3" s="9">
        <v>12051.1</v>
      </c>
      <c r="F3" s="9">
        <v>2624.1</v>
      </c>
      <c r="G3" s="9">
        <v>28549.7</v>
      </c>
      <c r="H3" s="37"/>
      <c r="I3" s="9">
        <v>42500</v>
      </c>
      <c r="K3" t="s">
        <v>62</v>
      </c>
      <c r="L3" s="81">
        <f>218.1+239.8</f>
        <v>457.9</v>
      </c>
      <c r="M3" s="4">
        <f>L3/SUM($L$3:$L$10)</f>
        <v>0.011777384540993217</v>
      </c>
      <c r="N3" s="9">
        <f>M3*$I$3</f>
        <v>500.53884299221176</v>
      </c>
    </row>
    <row r="4" spans="2:14" ht="19.5" customHeight="1">
      <c r="B4" s="9"/>
      <c r="C4" s="9"/>
      <c r="D4" s="9"/>
      <c r="E4" s="9"/>
      <c r="F4" s="9"/>
      <c r="G4" s="9"/>
      <c r="H4" s="37"/>
      <c r="I4" s="9"/>
      <c r="K4" t="s">
        <v>79</v>
      </c>
      <c r="L4" s="81">
        <v>654.5</v>
      </c>
      <c r="M4" s="4">
        <f aca="true" t="shared" si="0" ref="M4:M10">L4/SUM($L$3:$L$10)</f>
        <v>0.016834020926141214</v>
      </c>
      <c r="N4" s="9">
        <f aca="true" t="shared" si="1" ref="N4:N10">M4*$I$3</f>
        <v>715.4458893610016</v>
      </c>
    </row>
    <row r="5" spans="2:14" ht="19.5" customHeight="1">
      <c r="B5" s="9"/>
      <c r="C5" s="9"/>
      <c r="D5" s="9"/>
      <c r="E5" s="9"/>
      <c r="F5" s="9"/>
      <c r="G5" s="9"/>
      <c r="H5" s="37"/>
      <c r="I5" s="9"/>
      <c r="K5" t="s">
        <v>80</v>
      </c>
      <c r="L5" s="81">
        <f>221+2328.6</f>
        <v>2549.6</v>
      </c>
      <c r="M5" s="4">
        <f t="shared" si="0"/>
        <v>0.06557680634574428</v>
      </c>
      <c r="N5" s="9">
        <f t="shared" si="1"/>
        <v>2787.014269694132</v>
      </c>
    </row>
    <row r="6" spans="2:14" ht="19.5" customHeight="1">
      <c r="B6" s="9"/>
      <c r="C6" s="9"/>
      <c r="D6" s="9"/>
      <c r="E6" s="9"/>
      <c r="F6" s="9"/>
      <c r="G6" s="9"/>
      <c r="H6" s="37"/>
      <c r="I6" s="9"/>
      <c r="K6" t="s">
        <v>61</v>
      </c>
      <c r="L6" s="81">
        <f>2335.8+3159.3+1123.5+552.7+1574.5+2407.7+1068.1+175.5+4032.4+3677.7</f>
        <v>20107.2</v>
      </c>
      <c r="M6" s="4">
        <f t="shared" si="0"/>
        <v>0.5171658144631117</v>
      </c>
      <c r="N6" s="9">
        <f t="shared" si="1"/>
        <v>21979.54711468225</v>
      </c>
    </row>
    <row r="7" spans="2:14" ht="19.5" customHeight="1">
      <c r="B7" s="9"/>
      <c r="C7" s="9"/>
      <c r="D7" s="9"/>
      <c r="E7" s="9"/>
      <c r="F7" s="9"/>
      <c r="G7" s="9"/>
      <c r="H7" s="37"/>
      <c r="I7" s="9"/>
      <c r="K7" t="s">
        <v>68</v>
      </c>
      <c r="L7" s="81">
        <v>757.6</v>
      </c>
      <c r="M7" s="4">
        <f t="shared" si="0"/>
        <v>0.01948579717898332</v>
      </c>
      <c r="N7" s="9">
        <f t="shared" si="1"/>
        <v>828.1463801067911</v>
      </c>
    </row>
    <row r="8" spans="2:14" ht="19.5" customHeight="1">
      <c r="B8" s="9"/>
      <c r="C8" s="9"/>
      <c r="D8" s="9"/>
      <c r="E8" s="9"/>
      <c r="F8" s="9"/>
      <c r="G8" s="9"/>
      <c r="H8" s="37"/>
      <c r="I8" s="9"/>
      <c r="K8" t="s">
        <v>99</v>
      </c>
      <c r="L8" s="81">
        <v>10876</v>
      </c>
      <c r="M8" s="4">
        <f t="shared" si="0"/>
        <v>0.27973538822415867</v>
      </c>
      <c r="N8" s="9">
        <f t="shared" si="1"/>
        <v>11888.753999526743</v>
      </c>
    </row>
    <row r="9" spans="2:14" ht="19.5" customHeight="1">
      <c r="B9" s="9"/>
      <c r="C9" s="9"/>
      <c r="D9" s="9"/>
      <c r="E9" s="9"/>
      <c r="F9" s="9"/>
      <c r="G9" s="9"/>
      <c r="H9" s="37"/>
      <c r="I9" s="9"/>
      <c r="K9" t="s">
        <v>81</v>
      </c>
      <c r="L9" s="81">
        <v>3205.3</v>
      </c>
      <c r="M9" s="4">
        <f t="shared" si="0"/>
        <v>0.08244169178695253</v>
      </c>
      <c r="N9" s="9">
        <f t="shared" si="1"/>
        <v>3503.7719009454827</v>
      </c>
    </row>
    <row r="10" spans="2:14" s="11" customFormat="1" ht="19.5" customHeight="1" thickBot="1">
      <c r="B10" s="15"/>
      <c r="C10" s="15"/>
      <c r="D10" s="15"/>
      <c r="E10" s="15"/>
      <c r="F10" s="15"/>
      <c r="G10" s="15"/>
      <c r="H10" s="48"/>
      <c r="I10" s="15"/>
      <c r="J10" s="13"/>
      <c r="K10" s="11" t="s">
        <v>82</v>
      </c>
      <c r="L10" s="82">
        <v>271.5</v>
      </c>
      <c r="M10" s="14">
        <f t="shared" si="0"/>
        <v>0.006983096533914957</v>
      </c>
      <c r="N10" s="15">
        <f t="shared" si="1"/>
        <v>296.7816026913857</v>
      </c>
    </row>
    <row r="11" spans="1:14" ht="19.5" customHeight="1">
      <c r="A11">
        <v>1</v>
      </c>
      <c r="B11" s="9">
        <v>48719.5</v>
      </c>
      <c r="C11" s="9">
        <v>2564.7</v>
      </c>
      <c r="D11" s="9">
        <v>46154.8</v>
      </c>
      <c r="E11" s="9">
        <v>6506.3</v>
      </c>
      <c r="F11" s="9">
        <v>426</v>
      </c>
      <c r="G11" s="9">
        <v>39282.4</v>
      </c>
      <c r="H11" s="37"/>
      <c r="I11" s="9">
        <v>42500</v>
      </c>
      <c r="K11" s="3" t="s">
        <v>83</v>
      </c>
      <c r="L11" s="81">
        <v>5377.2</v>
      </c>
      <c r="M11" s="51">
        <f>L11/SUM($L$11:$L$14)</f>
        <v>0.14107350398648347</v>
      </c>
      <c r="N11" s="20">
        <f>M11*$I$11</f>
        <v>5995.623919425548</v>
      </c>
    </row>
    <row r="12" spans="2:14" ht="19.5" customHeight="1">
      <c r="B12" s="9"/>
      <c r="C12" s="9"/>
      <c r="D12" s="9"/>
      <c r="E12" s="9"/>
      <c r="F12" s="9"/>
      <c r="G12" s="9"/>
      <c r="H12" s="37"/>
      <c r="I12" s="9"/>
      <c r="K12" s="3" t="s">
        <v>84</v>
      </c>
      <c r="L12" s="81">
        <f>508.9+3441.7</f>
        <v>3950.6</v>
      </c>
      <c r="M12" s="51">
        <f>L12/SUM($L$11:$L$14)</f>
        <v>0.10364594674719213</v>
      </c>
      <c r="N12" s="20">
        <f>M12*$I$11</f>
        <v>4404.952736755666</v>
      </c>
    </row>
    <row r="13" spans="2:14" ht="19.5" customHeight="1">
      <c r="B13" s="9"/>
      <c r="C13" s="9"/>
      <c r="D13" s="9"/>
      <c r="E13" s="9"/>
      <c r="F13" s="9"/>
      <c r="G13" s="9"/>
      <c r="H13" s="37"/>
      <c r="I13" s="9"/>
      <c r="K13" s="3" t="s">
        <v>61</v>
      </c>
      <c r="L13" s="81">
        <v>1334.5</v>
      </c>
      <c r="M13" s="51">
        <f>L13/SUM($L$11:$L$14)</f>
        <v>0.035011268145124265</v>
      </c>
      <c r="N13" s="20">
        <f>M13*$I$11</f>
        <v>1487.9788961677812</v>
      </c>
    </row>
    <row r="14" spans="2:14" s="11" customFormat="1" ht="19.5" customHeight="1" thickBot="1">
      <c r="B14" s="15"/>
      <c r="C14" s="15"/>
      <c r="D14" s="15"/>
      <c r="E14" s="15"/>
      <c r="F14" s="15"/>
      <c r="G14" s="15"/>
      <c r="H14" s="48"/>
      <c r="I14" s="15"/>
      <c r="J14" s="13"/>
      <c r="K14" s="12" t="s">
        <v>81</v>
      </c>
      <c r="L14" s="82">
        <f>20742.2+6711.8</f>
        <v>27454</v>
      </c>
      <c r="M14" s="56">
        <f>L14/SUM($L$11:$L$14)</f>
        <v>0.7202692811212</v>
      </c>
      <c r="N14" s="29">
        <f>M14*$I$11</f>
        <v>30611.444447651</v>
      </c>
    </row>
    <row r="15" spans="1:14" ht="19.5" customHeight="1">
      <c r="A15" t="s">
        <v>78</v>
      </c>
      <c r="B15" s="9">
        <v>52381</v>
      </c>
      <c r="C15" s="9">
        <v>13489.1</v>
      </c>
      <c r="D15" s="9">
        <v>38891.9</v>
      </c>
      <c r="E15" s="9">
        <v>8348.9</v>
      </c>
      <c r="F15" s="9">
        <v>7364.1</v>
      </c>
      <c r="G15" s="9">
        <v>24759.8</v>
      </c>
      <c r="H15" s="37"/>
      <c r="I15" s="9">
        <v>40000</v>
      </c>
      <c r="K15" s="3" t="s">
        <v>83</v>
      </c>
      <c r="L15" s="81">
        <f>3923.4+102.9+837.5</f>
        <v>4863.8</v>
      </c>
      <c r="M15" s="51">
        <f>L15/SUM($L$15:$L$19)</f>
        <v>0.1811612826329061</v>
      </c>
      <c r="N15" s="20">
        <f>M15*$I$15</f>
        <v>7246.451305316244</v>
      </c>
    </row>
    <row r="16" spans="2:14" ht="19.5" customHeight="1">
      <c r="B16" s="9"/>
      <c r="C16" s="9"/>
      <c r="D16" s="9"/>
      <c r="E16" s="9"/>
      <c r="F16" s="9"/>
      <c r="G16" s="9"/>
      <c r="H16" s="37"/>
      <c r="I16" s="9"/>
      <c r="K16" s="3" t="s">
        <v>84</v>
      </c>
      <c r="L16" s="81">
        <v>2987.2</v>
      </c>
      <c r="M16" s="51">
        <f>L16/SUM($L$15:$L$19)</f>
        <v>0.11126382324129633</v>
      </c>
      <c r="N16" s="20">
        <f>M16*$I$15</f>
        <v>4450.552929651853</v>
      </c>
    </row>
    <row r="17" spans="2:14" ht="19.5" customHeight="1">
      <c r="B17" s="9"/>
      <c r="C17" s="9"/>
      <c r="D17" s="9"/>
      <c r="E17" s="9"/>
      <c r="F17" s="9"/>
      <c r="G17" s="9"/>
      <c r="H17" s="37"/>
      <c r="I17" s="9"/>
      <c r="K17" s="3" t="s">
        <v>100</v>
      </c>
      <c r="L17" s="81">
        <v>2088</v>
      </c>
      <c r="M17" s="51">
        <f>L17/SUM($L$15:$L$19)</f>
        <v>0.07777144581140424</v>
      </c>
      <c r="N17" s="20">
        <f>M17*$I$15</f>
        <v>3110.85783245617</v>
      </c>
    </row>
    <row r="18" spans="2:14" ht="19.5" customHeight="1">
      <c r="B18" s="9"/>
      <c r="C18" s="9"/>
      <c r="D18" s="9"/>
      <c r="E18" s="9"/>
      <c r="F18" s="9"/>
      <c r="G18" s="9"/>
      <c r="H18" s="37"/>
      <c r="I18" s="9"/>
      <c r="K18" s="3" t="s">
        <v>61</v>
      </c>
      <c r="L18" s="81">
        <v>3279</v>
      </c>
      <c r="M18" s="51">
        <f>L18/SUM($L$15:$L$19)</f>
        <v>0.12213245728716211</v>
      </c>
      <c r="N18" s="20">
        <f>M18*$I$15</f>
        <v>4885.298291486484</v>
      </c>
    </row>
    <row r="19" spans="2:14" s="11" customFormat="1" ht="19.5" customHeight="1" thickBot="1">
      <c r="B19" s="15"/>
      <c r="C19" s="15"/>
      <c r="D19" s="15"/>
      <c r="E19" s="15"/>
      <c r="F19" s="15"/>
      <c r="G19" s="15"/>
      <c r="H19" s="48"/>
      <c r="I19" s="15"/>
      <c r="J19" s="13"/>
      <c r="K19" s="12" t="s">
        <v>81</v>
      </c>
      <c r="L19" s="82">
        <f>82.6+11206.2+2341.1</f>
        <v>13629.900000000001</v>
      </c>
      <c r="M19" s="56">
        <f>L19/SUM($L$15:$L$19)</f>
        <v>0.5076709910272312</v>
      </c>
      <c r="N19" s="29">
        <f>M19*$I$15</f>
        <v>20306.83964108925</v>
      </c>
    </row>
    <row r="20" spans="1:14" ht="19.5" customHeight="1">
      <c r="A20">
        <v>2</v>
      </c>
      <c r="B20" s="9">
        <v>44344</v>
      </c>
      <c r="C20" s="9">
        <v>2821.2</v>
      </c>
      <c r="D20" s="9">
        <v>41552.8</v>
      </c>
      <c r="E20" s="9">
        <v>6104.7</v>
      </c>
      <c r="F20" s="9">
        <v>255.4</v>
      </c>
      <c r="G20" s="9">
        <v>35200.3</v>
      </c>
      <c r="H20" s="37"/>
      <c r="I20" s="20">
        <v>42500</v>
      </c>
      <c r="K20" s="3" t="s">
        <v>85</v>
      </c>
      <c r="L20" s="81">
        <f>5767.6+1911.2</f>
        <v>7678.8</v>
      </c>
      <c r="M20" s="51">
        <f>L20/SUM($L$20:$L$22)</f>
        <v>0.21814586807498798</v>
      </c>
      <c r="N20" s="20">
        <f>M20*$I$20</f>
        <v>9271.19939318699</v>
      </c>
    </row>
    <row r="21" spans="2:14" ht="19.5" customHeight="1">
      <c r="B21" s="9"/>
      <c r="C21" s="9"/>
      <c r="D21" s="9"/>
      <c r="E21" s="9"/>
      <c r="F21" s="9"/>
      <c r="G21" s="9"/>
      <c r="H21" s="37"/>
      <c r="I21" s="9"/>
      <c r="K21" s="3" t="s">
        <v>82</v>
      </c>
      <c r="L21" s="81">
        <f>3893.9+14999.6+3587.8+514.5+2882.3</f>
        <v>25878.1</v>
      </c>
      <c r="M21" s="51">
        <f>L21/SUM($L$20:$L$22)</f>
        <v>0.7351670298264502</v>
      </c>
      <c r="N21" s="20">
        <f>M21*$I$20</f>
        <v>31244.598767624135</v>
      </c>
    </row>
    <row r="22" spans="2:14" s="11" customFormat="1" ht="19.5" customHeight="1" thickBot="1">
      <c r="B22" s="15"/>
      <c r="C22" s="15"/>
      <c r="D22" s="15"/>
      <c r="E22" s="15"/>
      <c r="F22" s="15"/>
      <c r="G22" s="15"/>
      <c r="H22" s="48"/>
      <c r="I22" s="15"/>
      <c r="J22" s="13"/>
      <c r="K22" s="12" t="s">
        <v>68</v>
      </c>
      <c r="L22" s="82">
        <v>1643.4</v>
      </c>
      <c r="M22" s="56">
        <f>L22/SUM($L$20:$L$22)</f>
        <v>0.04668710209856166</v>
      </c>
      <c r="N22" s="29">
        <f>M22*$I$20</f>
        <v>1984.2018391888705</v>
      </c>
    </row>
    <row r="23" spans="1:14" ht="19.5" customHeight="1">
      <c r="A23">
        <v>3</v>
      </c>
      <c r="B23" s="9">
        <v>43642.7</v>
      </c>
      <c r="C23" s="9">
        <v>2870.4</v>
      </c>
      <c r="D23" s="9">
        <v>40772.3</v>
      </c>
      <c r="E23" s="9">
        <v>550.7</v>
      </c>
      <c r="F23" s="9">
        <v>6955.8</v>
      </c>
      <c r="G23" s="9">
        <v>33359.7</v>
      </c>
      <c r="H23" s="37"/>
      <c r="I23" s="20">
        <v>42500</v>
      </c>
      <c r="K23" s="3" t="s">
        <v>79</v>
      </c>
      <c r="L23" s="81">
        <f>1885.3+17991.8</f>
        <v>19877.1</v>
      </c>
      <c r="M23" s="4">
        <f>L23/SUM($L$23:$L$25)</f>
        <v>0.5953045540853794</v>
      </c>
      <c r="N23" s="9">
        <f>M23*$I$23</f>
        <v>25300.443548628624</v>
      </c>
    </row>
    <row r="24" spans="2:14" ht="19.5" customHeight="1">
      <c r="B24" s="9"/>
      <c r="C24" s="9"/>
      <c r="D24" s="9"/>
      <c r="E24" s="9"/>
      <c r="F24" s="9"/>
      <c r="G24" s="9"/>
      <c r="H24" s="37"/>
      <c r="I24" s="9"/>
      <c r="K24" s="3" t="s">
        <v>82</v>
      </c>
      <c r="L24" s="81">
        <v>12989.6</v>
      </c>
      <c r="M24" s="4">
        <f>L24/SUM($L$23:$L$25)</f>
        <v>0.38902898489958015</v>
      </c>
      <c r="N24" s="9">
        <f>M24*$I$23</f>
        <v>16533.731858232157</v>
      </c>
    </row>
    <row r="25" spans="2:14" s="11" customFormat="1" ht="19.5" customHeight="1" thickBot="1">
      <c r="B25" s="15"/>
      <c r="C25" s="15"/>
      <c r="D25" s="15"/>
      <c r="E25" s="15"/>
      <c r="F25" s="15"/>
      <c r="G25" s="15"/>
      <c r="H25" s="48"/>
      <c r="I25" s="15"/>
      <c r="J25" s="13"/>
      <c r="K25" s="12" t="s">
        <v>86</v>
      </c>
      <c r="L25" s="82">
        <v>523.1</v>
      </c>
      <c r="M25" s="14">
        <f>L25/SUM($L$23:$L$25)</f>
        <v>0.015666461015040524</v>
      </c>
      <c r="N25" s="15">
        <f>M25*$I$23</f>
        <v>665.8245931392223</v>
      </c>
    </row>
    <row r="26" spans="1:14" s="21" customFormat="1" ht="19.5" customHeight="1" thickBot="1">
      <c r="A26" s="21">
        <v>4</v>
      </c>
      <c r="B26" s="33">
        <v>42644.7</v>
      </c>
      <c r="C26" s="33">
        <v>2813.7</v>
      </c>
      <c r="D26" s="33">
        <v>39831</v>
      </c>
      <c r="E26" s="33">
        <v>543.7</v>
      </c>
      <c r="F26" s="33">
        <v>5532.6</v>
      </c>
      <c r="G26" s="33">
        <v>33830.2</v>
      </c>
      <c r="H26" s="58"/>
      <c r="I26" s="25">
        <v>42500</v>
      </c>
      <c r="J26" s="23"/>
      <c r="K26" s="22" t="s">
        <v>68</v>
      </c>
      <c r="L26" s="83">
        <v>33830.2</v>
      </c>
      <c r="M26" s="26">
        <v>1</v>
      </c>
      <c r="N26" s="21">
        <f>M26*$I$26</f>
        <v>42500</v>
      </c>
    </row>
    <row r="27" spans="1:14" s="21" customFormat="1" ht="19.5" customHeight="1" thickBot="1">
      <c r="A27" s="21">
        <v>5</v>
      </c>
      <c r="B27" s="33">
        <v>42693.5</v>
      </c>
      <c r="C27" s="33">
        <v>2745.7</v>
      </c>
      <c r="D27" s="33">
        <v>39947.8</v>
      </c>
      <c r="E27" s="33">
        <v>548.3</v>
      </c>
      <c r="F27" s="33">
        <v>2380.2</v>
      </c>
      <c r="G27" s="33">
        <v>37051.9</v>
      </c>
      <c r="H27" s="58"/>
      <c r="I27" s="25">
        <v>42500</v>
      </c>
      <c r="J27" s="23"/>
      <c r="K27" s="22" t="s">
        <v>68</v>
      </c>
      <c r="L27" s="83">
        <v>37051.9</v>
      </c>
      <c r="M27" s="26">
        <v>1</v>
      </c>
      <c r="N27" s="21">
        <f>M27*$I$27</f>
        <v>42500</v>
      </c>
    </row>
    <row r="28" spans="1:14" ht="19.5" customHeight="1">
      <c r="A28">
        <v>6</v>
      </c>
      <c r="B28" s="9">
        <v>42325.3</v>
      </c>
      <c r="C28" s="9">
        <v>3387.5</v>
      </c>
      <c r="D28" s="9">
        <v>38937.8</v>
      </c>
      <c r="E28" s="9">
        <v>517.4</v>
      </c>
      <c r="F28" s="9">
        <v>3021.4</v>
      </c>
      <c r="G28" s="9">
        <v>35439.1</v>
      </c>
      <c r="H28" s="37"/>
      <c r="I28" s="20">
        <v>42500</v>
      </c>
      <c r="K28" s="3" t="s">
        <v>80</v>
      </c>
      <c r="L28" s="81">
        <f>21083.1+840.2</f>
        <v>21923.3</v>
      </c>
      <c r="M28" s="4">
        <f>L28/SUM($L$28:$L$30)</f>
        <v>0.618618982987717</v>
      </c>
      <c r="N28" s="9">
        <f>M28*$I$28</f>
        <v>26291.306776977974</v>
      </c>
    </row>
    <row r="29" spans="11:14" ht="19.5" customHeight="1">
      <c r="K29" s="3" t="s">
        <v>87</v>
      </c>
      <c r="L29" s="81">
        <v>1107.7</v>
      </c>
      <c r="M29" s="4">
        <f>L29/SUM($L$28:$L$30)</f>
        <v>0.03125643709913627</v>
      </c>
      <c r="N29" s="9">
        <f>M29*$I$28</f>
        <v>1328.3985767132913</v>
      </c>
    </row>
    <row r="30" spans="8:14" s="11" customFormat="1" ht="19.5" customHeight="1" thickBot="1">
      <c r="H30" s="13"/>
      <c r="J30" s="13"/>
      <c r="K30" s="12" t="s">
        <v>88</v>
      </c>
      <c r="L30" s="82">
        <v>12408.1</v>
      </c>
      <c r="M30" s="14">
        <f>L30/SUM($L$28:$L$30)</f>
        <v>0.3501245799131468</v>
      </c>
      <c r="N30" s="15">
        <f>M30*$I$28</f>
        <v>14880.294646308741</v>
      </c>
    </row>
    <row r="31" spans="1:14" ht="19.5" customHeight="1">
      <c r="A31">
        <v>7</v>
      </c>
      <c r="B31" s="9">
        <v>42497.7</v>
      </c>
      <c r="C31" s="9">
        <v>2913.6</v>
      </c>
      <c r="D31" s="9">
        <v>39584.1</v>
      </c>
      <c r="E31" s="9">
        <v>490.6</v>
      </c>
      <c r="F31" s="9">
        <v>1007.2</v>
      </c>
      <c r="G31" s="9">
        <v>38098.8</v>
      </c>
      <c r="H31" s="37"/>
      <c r="I31" s="20">
        <v>42500</v>
      </c>
      <c r="K31" s="3" t="s">
        <v>82</v>
      </c>
      <c r="L31" s="81">
        <f>38098.8-5100</f>
        <v>32998.8</v>
      </c>
      <c r="M31" s="4">
        <f>L31/SUM($L$31:$L$32)</f>
        <v>0.8661375161422407</v>
      </c>
      <c r="N31" s="9">
        <f>M31*$I$31</f>
        <v>36810.84443604523</v>
      </c>
    </row>
    <row r="32" spans="2:14" s="11" customFormat="1" ht="19.5" customHeight="1" thickBot="1">
      <c r="B32" s="15"/>
      <c r="C32" s="15"/>
      <c r="D32" s="15"/>
      <c r="E32" s="15"/>
      <c r="F32" s="15"/>
      <c r="G32" s="15"/>
      <c r="H32" s="48"/>
      <c r="I32" s="29"/>
      <c r="J32" s="13"/>
      <c r="K32" s="12" t="s">
        <v>68</v>
      </c>
      <c r="L32" s="82">
        <v>5100</v>
      </c>
      <c r="M32" s="14">
        <f>L32/SUM($L$31:$L$32)</f>
        <v>0.13386248385775928</v>
      </c>
      <c r="N32" s="15">
        <f>M32*$I$31</f>
        <v>5689.15556395477</v>
      </c>
    </row>
    <row r="33" spans="1:14" s="21" customFormat="1" ht="19.5" customHeight="1" thickBot="1">
      <c r="A33" s="21">
        <v>8</v>
      </c>
      <c r="B33" s="33">
        <v>42646.4</v>
      </c>
      <c r="C33" s="33">
        <v>2867</v>
      </c>
      <c r="D33" s="33">
        <v>39779.4</v>
      </c>
      <c r="E33" s="33">
        <v>583.4</v>
      </c>
      <c r="F33" s="33">
        <v>7176.1</v>
      </c>
      <c r="G33" s="33">
        <v>32125.2</v>
      </c>
      <c r="H33" s="58"/>
      <c r="I33" s="25">
        <v>42500</v>
      </c>
      <c r="J33" s="23"/>
      <c r="K33" s="22" t="s">
        <v>82</v>
      </c>
      <c r="L33" s="83">
        <v>32125.2</v>
      </c>
      <c r="M33" s="26">
        <v>1</v>
      </c>
      <c r="N33" s="21">
        <f>M33*$I$33</f>
        <v>42500</v>
      </c>
    </row>
    <row r="34" spans="1:14" s="21" customFormat="1" ht="19.5" customHeight="1" thickBot="1">
      <c r="A34" s="21">
        <v>9</v>
      </c>
      <c r="B34" s="33">
        <v>42587.1</v>
      </c>
      <c r="C34" s="33">
        <v>2854.5</v>
      </c>
      <c r="D34" s="33">
        <v>39732.6</v>
      </c>
      <c r="E34" s="33">
        <v>574.3</v>
      </c>
      <c r="F34" s="33">
        <v>6485.7</v>
      </c>
      <c r="G34" s="33">
        <v>32766.3</v>
      </c>
      <c r="H34" s="58"/>
      <c r="I34" s="25">
        <v>42500</v>
      </c>
      <c r="J34" s="23"/>
      <c r="K34" s="22" t="s">
        <v>82</v>
      </c>
      <c r="L34" s="83">
        <v>32766.3</v>
      </c>
      <c r="M34" s="26">
        <v>1</v>
      </c>
      <c r="N34" s="21">
        <f>M34*$I$34</f>
        <v>42500</v>
      </c>
    </row>
    <row r="35" spans="1:14" ht="19.5" customHeight="1">
      <c r="A35">
        <v>10</v>
      </c>
      <c r="B35" s="9">
        <v>40821.3</v>
      </c>
      <c r="C35" s="9">
        <v>1109</v>
      </c>
      <c r="D35" s="9">
        <v>39712.4</v>
      </c>
      <c r="E35" s="9">
        <v>760.8</v>
      </c>
      <c r="F35" s="9">
        <v>4054.3</v>
      </c>
      <c r="G35" s="9">
        <v>34974.9</v>
      </c>
      <c r="H35" s="37"/>
      <c r="I35" s="20">
        <v>42500</v>
      </c>
      <c r="K35" s="3" t="s">
        <v>89</v>
      </c>
      <c r="L35" s="81">
        <v>10080.6</v>
      </c>
      <c r="M35" s="4">
        <f>L35/SUM($L$35:$L$38)</f>
        <v>0.2882238405256341</v>
      </c>
      <c r="N35" s="9">
        <f>M35*$I$35</f>
        <v>12249.513222339448</v>
      </c>
    </row>
    <row r="36" spans="2:14" ht="19.5" customHeight="1">
      <c r="B36" s="9"/>
      <c r="C36" s="9"/>
      <c r="D36" s="9"/>
      <c r="E36" s="9"/>
      <c r="F36" s="9"/>
      <c r="G36" s="9"/>
      <c r="H36" s="37"/>
      <c r="I36" s="20"/>
      <c r="K36" s="3" t="s">
        <v>82</v>
      </c>
      <c r="L36" s="81">
        <v>2833.8</v>
      </c>
      <c r="M36" s="4">
        <f>L36/SUM($L$35:$L$38)</f>
        <v>0.08102381993944228</v>
      </c>
      <c r="N36" s="9">
        <f>M36*$I$35</f>
        <v>3443.5123474262973</v>
      </c>
    </row>
    <row r="37" spans="2:14" ht="19.5" customHeight="1">
      <c r="B37" s="9"/>
      <c r="C37" s="9"/>
      <c r="D37" s="9"/>
      <c r="E37" s="9"/>
      <c r="F37" s="9"/>
      <c r="G37" s="9"/>
      <c r="H37" s="37"/>
      <c r="I37" s="20"/>
      <c r="K37" s="3" t="s">
        <v>79</v>
      </c>
      <c r="L37" s="81">
        <v>3062.1</v>
      </c>
      <c r="M37" s="4">
        <f>L37/SUM($L$35:$L$38)</f>
        <v>0.08755135825978058</v>
      </c>
      <c r="N37" s="9">
        <f>M37*$I$35</f>
        <v>3720.932726040675</v>
      </c>
    </row>
    <row r="38" spans="2:14" s="11" customFormat="1" ht="19.5" customHeight="1" thickBot="1">
      <c r="B38" s="15"/>
      <c r="C38" s="15"/>
      <c r="D38" s="15"/>
      <c r="E38" s="15"/>
      <c r="F38" s="15"/>
      <c r="G38" s="15"/>
      <c r="H38" s="48"/>
      <c r="I38" s="29"/>
      <c r="J38" s="13"/>
      <c r="K38" s="12" t="s">
        <v>85</v>
      </c>
      <c r="L38" s="82">
        <v>18998.4</v>
      </c>
      <c r="M38" s="14">
        <f>L38/SUM($L$35:$L$38)</f>
        <v>0.543200981275143</v>
      </c>
      <c r="N38" s="15">
        <f>M38*$I$35</f>
        <v>23086.04170419358</v>
      </c>
    </row>
    <row r="39" spans="1:14" s="21" customFormat="1" ht="19.5" customHeight="1" thickBot="1">
      <c r="A39" s="21">
        <v>11</v>
      </c>
      <c r="B39" s="33">
        <v>17176.3</v>
      </c>
      <c r="C39" s="33"/>
      <c r="D39" s="33">
        <v>17176.3</v>
      </c>
      <c r="E39" s="33">
        <v>0</v>
      </c>
      <c r="F39" s="33">
        <v>0</v>
      </c>
      <c r="G39" s="33">
        <v>17176.3</v>
      </c>
      <c r="H39" s="58"/>
      <c r="I39" s="25">
        <v>17200</v>
      </c>
      <c r="J39" s="23"/>
      <c r="K39" s="22" t="s">
        <v>85</v>
      </c>
      <c r="L39" s="83">
        <v>17176.3</v>
      </c>
      <c r="M39" s="65">
        <v>1</v>
      </c>
      <c r="N39" s="25">
        <f>M39*$I$39</f>
        <v>17200</v>
      </c>
    </row>
    <row r="40" spans="1:14" ht="19.5" customHeight="1">
      <c r="A40">
        <v>12</v>
      </c>
      <c r="B40" s="9">
        <v>41112.5</v>
      </c>
      <c r="C40" s="9">
        <v>1241</v>
      </c>
      <c r="D40" s="9">
        <v>39871.5</v>
      </c>
      <c r="E40" s="9">
        <v>497.2</v>
      </c>
      <c r="F40" s="9">
        <v>1578.1</v>
      </c>
      <c r="G40" s="9">
        <v>37815.9</v>
      </c>
      <c r="H40" s="37"/>
      <c r="I40" s="20">
        <v>42500</v>
      </c>
      <c r="K40" s="3" t="s">
        <v>89</v>
      </c>
      <c r="L40" s="81">
        <v>28234.1</v>
      </c>
      <c r="M40" s="51">
        <f>L40/SUM($L$40:$L$42)</f>
        <v>0.7466198080701505</v>
      </c>
      <c r="N40" s="20">
        <f>M40*$I$40</f>
        <v>31731.341842981397</v>
      </c>
    </row>
    <row r="41" spans="11:14" ht="19.5" customHeight="1">
      <c r="K41" s="3" t="s">
        <v>85</v>
      </c>
      <c r="L41" s="81">
        <v>7171.1</v>
      </c>
      <c r="M41" s="51">
        <f>L41/SUM($L$40:$L$42)</f>
        <v>0.1896318744231924</v>
      </c>
      <c r="N41" s="20">
        <f>M41*$I$40</f>
        <v>8059.354662985677</v>
      </c>
    </row>
    <row r="42" spans="11:14" ht="19.5" customHeight="1">
      <c r="K42" s="3" t="s">
        <v>82</v>
      </c>
      <c r="L42" s="81">
        <v>2410.7</v>
      </c>
      <c r="M42" s="51">
        <f>L42/SUM($L$40:$L$42)</f>
        <v>0.06374831750665726</v>
      </c>
      <c r="N42" s="20">
        <f>M42*$I$40</f>
        <v>2709.3034940329335</v>
      </c>
    </row>
    <row r="47" spans="2:8" ht="12.75">
      <c r="B47" s="9"/>
      <c r="C47" s="9"/>
      <c r="D47" s="9"/>
      <c r="E47" s="9"/>
      <c r="F47" s="9"/>
      <c r="G47" s="9"/>
      <c r="H47" s="37"/>
    </row>
    <row r="48" spans="2:8" ht="12.75">
      <c r="B48" s="9"/>
      <c r="C48" s="9"/>
      <c r="D48" s="9"/>
      <c r="E48" s="9"/>
      <c r="F48" s="9"/>
      <c r="G48" s="9"/>
      <c r="H48" s="37"/>
    </row>
    <row r="49" spans="2:8" ht="12.75">
      <c r="B49" s="9"/>
      <c r="C49" s="9"/>
      <c r="D49" s="9"/>
      <c r="E49" s="9"/>
      <c r="F49" s="9"/>
      <c r="G49" s="9"/>
      <c r="H49" s="37"/>
    </row>
    <row r="50" spans="2:8" ht="12.75">
      <c r="B50" s="9"/>
      <c r="C50" s="9"/>
      <c r="D50" s="9"/>
      <c r="E50" s="9"/>
      <c r="F50" s="9"/>
      <c r="G50" s="9"/>
      <c r="H50" s="37"/>
    </row>
    <row r="51" spans="2:8" ht="12.75">
      <c r="B51" s="9"/>
      <c r="C51" s="9"/>
      <c r="D51" s="9"/>
      <c r="E51" s="9"/>
      <c r="F51" s="9"/>
      <c r="G51" s="9"/>
      <c r="H51" s="37"/>
    </row>
    <row r="52" spans="2:8" ht="12.75">
      <c r="B52" s="9"/>
      <c r="C52" s="9"/>
      <c r="D52" s="9"/>
      <c r="E52" s="9"/>
      <c r="F52" s="9"/>
      <c r="G52" s="9"/>
      <c r="H52" s="37"/>
    </row>
    <row r="53" spans="2:8" ht="12.75">
      <c r="B53" s="9"/>
      <c r="C53" s="9"/>
      <c r="D53" s="9"/>
      <c r="E53" s="9"/>
      <c r="F53" s="9"/>
      <c r="G53" s="9"/>
      <c r="H53" s="37"/>
    </row>
    <row r="54" spans="2:8" ht="12.75">
      <c r="B54" s="9"/>
      <c r="C54" s="9"/>
      <c r="D54" s="9"/>
      <c r="E54" s="9"/>
      <c r="F54" s="9"/>
      <c r="G54" s="9"/>
      <c r="H54" s="37"/>
    </row>
    <row r="55" spans="2:8" ht="12.75">
      <c r="B55" s="9"/>
      <c r="C55" s="9"/>
      <c r="D55" s="9"/>
      <c r="E55" s="9"/>
      <c r="F55" s="9"/>
      <c r="G55" s="9"/>
      <c r="H55" s="37"/>
    </row>
    <row r="56" spans="2:8" ht="12.75">
      <c r="B56" s="9"/>
      <c r="C56" s="9"/>
      <c r="D56" s="9"/>
      <c r="E56" s="9"/>
      <c r="F56" s="9"/>
      <c r="G56" s="9"/>
      <c r="H56" s="37"/>
    </row>
    <row r="57" spans="2:8" ht="12.75">
      <c r="B57" s="9"/>
      <c r="C57" s="9"/>
      <c r="D57" s="9"/>
      <c r="E57" s="9"/>
      <c r="F57" s="9"/>
      <c r="G57" s="9"/>
      <c r="H57" s="37"/>
    </row>
    <row r="58" spans="2:8" ht="12.75">
      <c r="B58" s="9"/>
      <c r="C58" s="9"/>
      <c r="D58" s="9"/>
      <c r="E58" s="9"/>
      <c r="F58" s="9"/>
      <c r="G58" s="9"/>
      <c r="H58" s="37"/>
    </row>
    <row r="59" spans="2:8" ht="12.75">
      <c r="B59" s="9"/>
      <c r="C59" s="9"/>
      <c r="D59" s="9"/>
      <c r="E59" s="9"/>
      <c r="F59" s="9"/>
      <c r="G59" s="9"/>
      <c r="H59" s="37"/>
    </row>
    <row r="60" spans="2:8" ht="12.75">
      <c r="B60" s="9"/>
      <c r="C60" s="9"/>
      <c r="D60" s="9"/>
      <c r="E60" s="9"/>
      <c r="F60" s="9"/>
      <c r="G60" s="9"/>
      <c r="H60" s="37"/>
    </row>
    <row r="61" spans="2:8" ht="12.75">
      <c r="B61" s="9"/>
      <c r="C61" s="9"/>
      <c r="D61" s="9"/>
      <c r="E61" s="9"/>
      <c r="F61" s="9"/>
      <c r="G61" s="9"/>
      <c r="H61" s="37"/>
    </row>
    <row r="62" spans="2:8" ht="12.75">
      <c r="B62" s="9"/>
      <c r="C62" s="9"/>
      <c r="D62" s="9"/>
      <c r="E62" s="9"/>
      <c r="F62" s="9"/>
      <c r="G62" s="9"/>
      <c r="H62" s="37"/>
    </row>
    <row r="63" spans="2:8" ht="12.75">
      <c r="B63" s="9"/>
      <c r="C63" s="9"/>
      <c r="D63" s="9"/>
      <c r="E63" s="9"/>
      <c r="F63" s="9"/>
      <c r="G63" s="9"/>
      <c r="H63" s="37"/>
    </row>
  </sheetData>
  <mergeCells count="2">
    <mergeCell ref="B1:G1"/>
    <mergeCell ref="L1:N1"/>
  </mergeCells>
  <printOptions gridLines="1"/>
  <pageMargins left="0.75" right="0.75" top="1" bottom="1" header="0.5" footer="0.5"/>
  <pageSetup fitToHeight="1" fitToWidth="1" horizontalDpi="600" verticalDpi="600" orientation="landscape" scale="54" r:id="rId3"/>
  <headerFooter alignWithMargins="0">
    <oddHeader>&amp;C&amp;A</oddHeader>
    <oddFooter>&amp;L&amp;A&amp;F
klk
&amp;D&amp;T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P13"/>
  <sheetViews>
    <sheetView workbookViewId="0" topLeftCell="G1">
      <selection activeCell="M1" sqref="M1"/>
    </sheetView>
  </sheetViews>
  <sheetFormatPr defaultColWidth="9.140625" defaultRowHeight="12.75"/>
  <cols>
    <col min="1" max="1" width="9.140625" style="34" customWidth="1"/>
    <col min="2" max="2" width="24.28125" style="0" customWidth="1"/>
    <col min="3" max="3" width="14.00390625" style="0" customWidth="1"/>
    <col min="4" max="4" width="19.7109375" style="0" customWidth="1"/>
    <col min="5" max="5" width="13.00390625" style="0" customWidth="1"/>
    <col min="6" max="6" width="15.140625" style="0" customWidth="1"/>
    <col min="7" max="7" width="15.00390625" style="0" customWidth="1"/>
    <col min="8" max="8" width="8.57421875" style="0" customWidth="1"/>
    <col min="9" max="9" width="14.28125" style="0" customWidth="1"/>
    <col min="10" max="10" width="18.7109375" style="0" customWidth="1"/>
    <col min="11" max="11" width="15.00390625" style="0" customWidth="1"/>
    <col min="12" max="12" width="12.421875" style="0" customWidth="1"/>
    <col min="13" max="13" width="14.421875" style="0" customWidth="1"/>
    <col min="14" max="14" width="13.28125" style="0" customWidth="1"/>
    <col min="15" max="15" width="13.57421875" style="0" customWidth="1"/>
    <col min="16" max="16" width="10.28125" style="0" customWidth="1"/>
  </cols>
  <sheetData>
    <row r="1" spans="1:16" s="60" customFormat="1" ht="49.5" customHeight="1">
      <c r="A1" s="60" t="s">
        <v>32</v>
      </c>
      <c r="B1" s="60" t="s">
        <v>69</v>
      </c>
      <c r="C1" s="60" t="s">
        <v>70</v>
      </c>
      <c r="D1" s="60" t="s">
        <v>71</v>
      </c>
      <c r="E1" s="60" t="s">
        <v>104</v>
      </c>
      <c r="F1" s="60" t="s">
        <v>105</v>
      </c>
      <c r="G1" s="60" t="s">
        <v>72</v>
      </c>
      <c r="H1" s="60" t="s">
        <v>112</v>
      </c>
      <c r="I1" s="60" t="s">
        <v>73</v>
      </c>
      <c r="J1" s="60" t="s">
        <v>55</v>
      </c>
      <c r="K1" s="60" t="s">
        <v>74</v>
      </c>
      <c r="L1" s="60" t="s">
        <v>75</v>
      </c>
      <c r="M1" s="60" t="s">
        <v>113</v>
      </c>
      <c r="N1" s="60" t="s">
        <v>46</v>
      </c>
      <c r="O1" s="60" t="s">
        <v>76</v>
      </c>
      <c r="P1" s="60" t="s">
        <v>36</v>
      </c>
    </row>
    <row r="2" spans="1:16" ht="12.75">
      <c r="A2" s="34" t="s">
        <v>33</v>
      </c>
      <c r="B2" s="9">
        <f>'yesler conversion'!S3</f>
        <v>7800</v>
      </c>
      <c r="J2" s="4"/>
      <c r="P2" s="9">
        <f>SUM(B2:O2)</f>
        <v>7800</v>
      </c>
    </row>
    <row r="3" spans="1:16" ht="12.75">
      <c r="A3" s="34">
        <v>1</v>
      </c>
      <c r="B3" s="4"/>
      <c r="C3" s="9">
        <f>'yesler conversion'!S5</f>
        <v>3108.699616997994</v>
      </c>
      <c r="D3" s="9">
        <f>'yesler conversion'!S4</f>
        <v>10141.893124202079</v>
      </c>
      <c r="E3" s="9">
        <f>'yesler conversion'!S6</f>
        <v>188.94765639248587</v>
      </c>
      <c r="F3" s="9">
        <f>'yesler conversion'!S7</f>
        <v>560.4596024074411</v>
      </c>
      <c r="G3" s="9"/>
      <c r="H3" s="9"/>
      <c r="I3" s="9"/>
      <c r="J3" s="9"/>
      <c r="K3" s="9"/>
      <c r="L3" s="9"/>
      <c r="M3" s="9"/>
      <c r="N3" s="9"/>
      <c r="O3" s="9"/>
      <c r="P3" s="9">
        <f aca="true" t="shared" si="0" ref="P3:P9">SUM(B3:O3)</f>
        <v>14000</v>
      </c>
    </row>
    <row r="4" spans="1:16" ht="12.75">
      <c r="A4" s="34">
        <v>2</v>
      </c>
      <c r="B4" t="s">
        <v>12</v>
      </c>
      <c r="C4" s="9"/>
      <c r="D4" s="9"/>
      <c r="E4" s="9">
        <f>'yesler conversion'!S13</f>
        <v>1752.7424690928087</v>
      </c>
      <c r="F4" s="9"/>
      <c r="G4" s="9">
        <f>'yesler conversion'!S9</f>
        <v>3493.2961866620235</v>
      </c>
      <c r="H4" s="9">
        <f>'yesler conversion'!S11</f>
        <v>895.8732369841547</v>
      </c>
      <c r="I4" s="9">
        <f>'yesler conversion'!S12</f>
        <v>2502.350687793836</v>
      </c>
      <c r="J4" s="9">
        <f>'yesler conversion'!S8</f>
        <v>4580.532822566603</v>
      </c>
      <c r="K4" s="9"/>
      <c r="L4" s="9"/>
      <c r="M4" s="9"/>
      <c r="N4" s="9"/>
      <c r="O4" s="9">
        <f>'yesler conversion'!S10</f>
        <v>775.2045969005746</v>
      </c>
      <c r="P4" s="9">
        <f t="shared" si="0"/>
        <v>14000</v>
      </c>
    </row>
    <row r="5" spans="1:16" ht="12.75">
      <c r="A5" s="34">
        <v>3</v>
      </c>
      <c r="C5" s="9"/>
      <c r="D5" s="9"/>
      <c r="E5" s="9"/>
      <c r="F5" s="9"/>
      <c r="G5" s="9"/>
      <c r="H5" s="9">
        <f>'yesler conversion'!S16</f>
        <v>14000</v>
      </c>
      <c r="I5" s="9"/>
      <c r="J5" s="9"/>
      <c r="K5" s="9"/>
      <c r="L5" s="9"/>
      <c r="M5" s="9"/>
      <c r="N5" s="9"/>
      <c r="O5" s="9"/>
      <c r="P5" s="9">
        <f t="shared" si="0"/>
        <v>14000</v>
      </c>
    </row>
    <row r="6" spans="1:16" ht="12.75">
      <c r="A6" s="34">
        <v>4</v>
      </c>
      <c r="B6" s="4"/>
      <c r="C6" s="9"/>
      <c r="D6" s="9">
        <f>'yesler conversion'!S19</f>
        <v>3195.343372850582</v>
      </c>
      <c r="E6" s="9"/>
      <c r="F6" s="9"/>
      <c r="G6" s="9"/>
      <c r="H6" s="9"/>
      <c r="I6" s="9"/>
      <c r="J6" s="9"/>
      <c r="K6" s="9">
        <f>'yesler conversion'!S17</f>
        <v>6782.441525152194</v>
      </c>
      <c r="L6" s="9">
        <f>'yesler conversion'!S18</f>
        <v>1665.7054362917868</v>
      </c>
      <c r="M6" s="9">
        <f>'yesler conversion'!S20</f>
        <v>822.3859873972018</v>
      </c>
      <c r="N6" s="9">
        <f>'yesler conversion'!S21</f>
        <v>1534.1236783082345</v>
      </c>
      <c r="O6" s="9"/>
      <c r="P6" s="9">
        <f t="shared" si="0"/>
        <v>13999.999999999998</v>
      </c>
    </row>
    <row r="7" spans="1:16" ht="12.75">
      <c r="A7" s="34">
        <v>5</v>
      </c>
      <c r="C7" s="9"/>
      <c r="D7" s="9"/>
      <c r="E7" s="9">
        <f>'yesler conversion'!S22</f>
        <v>7033.157565466083</v>
      </c>
      <c r="F7" s="9"/>
      <c r="G7" s="9"/>
      <c r="H7" s="9">
        <f>'yesler conversion'!S23</f>
        <v>6966.842434533917</v>
      </c>
      <c r="I7" s="9"/>
      <c r="J7" s="9"/>
      <c r="K7" s="9"/>
      <c r="L7" s="9"/>
      <c r="M7" s="9"/>
      <c r="N7" s="9"/>
      <c r="O7" s="9"/>
      <c r="P7" s="9">
        <f t="shared" si="0"/>
        <v>14000</v>
      </c>
    </row>
    <row r="8" spans="1:16" ht="12.75">
      <c r="A8" s="34">
        <v>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>
        <f>'yesler conversion'!S24</f>
        <v>14000</v>
      </c>
      <c r="P8" s="9">
        <f t="shared" si="0"/>
        <v>14000</v>
      </c>
    </row>
    <row r="9" spans="1:16" ht="12.75">
      <c r="A9" s="34">
        <v>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>
        <f>'yesler conversion'!S25</f>
        <v>9600</v>
      </c>
      <c r="P9" s="9">
        <f t="shared" si="0"/>
        <v>9600</v>
      </c>
    </row>
    <row r="13" ht="12.75">
      <c r="P13" s="9">
        <f>SUM(P2:P12)</f>
        <v>101400</v>
      </c>
    </row>
  </sheetData>
  <printOptions gridLines="1"/>
  <pageMargins left="0.22" right="0.27" top="1" bottom="1" header="0.5" footer="0.5"/>
  <pageSetup fitToHeight="1" fitToWidth="1" horizontalDpi="600" verticalDpi="600" orientation="landscape" scale="59" r:id="rId1"/>
  <headerFooter alignWithMargins="0">
    <oddHeader>&amp;C&amp;A
&amp;F</oddHeader>
    <oddFooter>&amp;L&amp;D&amp;T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workbookViewId="0" topLeftCell="A1">
      <selection activeCell="I3" sqref="I3"/>
    </sheetView>
  </sheetViews>
  <sheetFormatPr defaultColWidth="9.140625" defaultRowHeight="12.75"/>
  <cols>
    <col min="7" max="7" width="17.421875" style="0" customWidth="1"/>
    <col min="8" max="8" width="17.57421875" style="0" customWidth="1"/>
    <col min="9" max="9" width="19.421875" style="0" customWidth="1"/>
    <col min="11" max="11" width="13.57421875" style="0" customWidth="1"/>
  </cols>
  <sheetData>
    <row r="1" spans="1:13" s="1" customFormat="1" ht="77.25" customHeight="1">
      <c r="A1" s="1" t="s">
        <v>32</v>
      </c>
      <c r="B1" s="1" t="s">
        <v>92</v>
      </c>
      <c r="C1" s="1" t="s">
        <v>93</v>
      </c>
      <c r="D1" s="1" t="s">
        <v>96</v>
      </c>
      <c r="E1" s="1" t="s">
        <v>114</v>
      </c>
      <c r="F1" s="1" t="s">
        <v>98</v>
      </c>
      <c r="G1" s="1" t="s">
        <v>46</v>
      </c>
      <c r="H1" s="1" t="s">
        <v>101</v>
      </c>
      <c r="I1" s="1" t="s">
        <v>102</v>
      </c>
      <c r="J1" s="1" t="s">
        <v>62</v>
      </c>
      <c r="K1" s="1" t="s">
        <v>103</v>
      </c>
      <c r="M1" s="1" t="s">
        <v>36</v>
      </c>
    </row>
    <row r="2" spans="1:13" ht="12.75">
      <c r="A2" t="s">
        <v>90</v>
      </c>
      <c r="B2" s="9">
        <f>'kingstreet converison'!N3</f>
        <v>42904.49575489359</v>
      </c>
      <c r="C2" s="9">
        <f>'kingstreet converison'!N4</f>
        <v>4332.003865098209</v>
      </c>
      <c r="H2" s="9">
        <f>'kingstreet converison'!N8</f>
        <v>3202.3930428232256</v>
      </c>
      <c r="I2" s="9">
        <f>'kingstreet converison'!N7</f>
        <v>989.7812542736913</v>
      </c>
      <c r="J2" s="9">
        <f>'kingstreet converison'!N5</f>
        <v>3309.5463890252736</v>
      </c>
      <c r="K2" s="9">
        <f>'kingstreet converison'!N6</f>
        <v>261.77969388601554</v>
      </c>
      <c r="M2" s="9">
        <f>SUM(B2:K2)</f>
        <v>55000.00000000001</v>
      </c>
    </row>
    <row r="3" spans="1:13" ht="12.75">
      <c r="A3" t="s">
        <v>91</v>
      </c>
      <c r="B3" s="9">
        <f>'kingstreet converison'!N10</f>
        <v>65337.79615586654</v>
      </c>
      <c r="H3" s="9">
        <f>'kingstreet converison'!N9</f>
        <v>262.20384413345363</v>
      </c>
      <c r="M3" s="9">
        <f aca="true" t="shared" si="0" ref="M3:M11">SUM(B3:K3)</f>
        <v>65600</v>
      </c>
    </row>
    <row r="4" spans="1:13" ht="12.75">
      <c r="A4">
        <v>1</v>
      </c>
      <c r="B4" s="9">
        <f>'kingstreet converison'!N16</f>
        <v>25932.666778290713</v>
      </c>
      <c r="C4" s="9">
        <f>'kingstreet converison'!N13</f>
        <v>4559.0929748606695</v>
      </c>
      <c r="D4" s="9">
        <f>'kingstreet converison'!N15</f>
        <v>3625.230224603535</v>
      </c>
      <c r="E4" s="9">
        <f>'kingstreet converison'!N14</f>
        <v>5320.520486999784</v>
      </c>
      <c r="H4" s="9">
        <f>'kingstreet converison'!N11</f>
        <v>3513.825435931782</v>
      </c>
      <c r="I4" s="9">
        <f>'kingstreet converison'!N12</f>
        <v>11048.664099313513</v>
      </c>
      <c r="M4" s="9">
        <f t="shared" si="0"/>
        <v>53999.99999999999</v>
      </c>
    </row>
    <row r="5" spans="1:13" ht="12.75">
      <c r="A5">
        <v>2</v>
      </c>
      <c r="I5" s="9">
        <f>'kingstreet converison'!N17</f>
        <v>44281</v>
      </c>
      <c r="M5" s="9">
        <f t="shared" si="0"/>
        <v>44281</v>
      </c>
    </row>
    <row r="6" spans="1:13" ht="12.75">
      <c r="A6">
        <v>3</v>
      </c>
      <c r="I6" s="9">
        <f>'kingstreet converison'!N18</f>
        <v>44281</v>
      </c>
      <c r="M6" s="9">
        <f t="shared" si="0"/>
        <v>44281</v>
      </c>
    </row>
    <row r="7" spans="1:13" ht="12.75">
      <c r="A7">
        <v>4</v>
      </c>
      <c r="I7" s="9">
        <f>'kingstreet converison'!N19</f>
        <v>44281</v>
      </c>
      <c r="M7" s="9">
        <f t="shared" si="0"/>
        <v>44281</v>
      </c>
    </row>
    <row r="8" spans="1:13" ht="12.75">
      <c r="A8">
        <v>5</v>
      </c>
      <c r="H8" s="9">
        <f>'kingstreet converison'!N20</f>
        <v>44281</v>
      </c>
      <c r="M8" s="9">
        <f t="shared" si="0"/>
        <v>44281</v>
      </c>
    </row>
    <row r="9" spans="1:13" ht="12.75">
      <c r="A9">
        <v>6</v>
      </c>
      <c r="H9" s="9">
        <f>'kingstreet converison'!N21</f>
        <v>44281</v>
      </c>
      <c r="M9" s="9">
        <f t="shared" si="0"/>
        <v>44281</v>
      </c>
    </row>
    <row r="10" spans="1:13" ht="12.75">
      <c r="A10">
        <v>7</v>
      </c>
      <c r="F10" s="9">
        <f>'kingstreet converison'!N23</f>
        <v>835.4095319143611</v>
      </c>
      <c r="H10" s="9">
        <f>'kingstreet converison'!N22</f>
        <v>43445.59046808563</v>
      </c>
      <c r="M10" s="9">
        <f t="shared" si="0"/>
        <v>44280.99999999999</v>
      </c>
    </row>
    <row r="11" spans="1:13" ht="12.75">
      <c r="A11">
        <v>8</v>
      </c>
      <c r="G11" s="9">
        <f>'kingstreet converison'!N25</f>
        <v>4966.396755804876</v>
      </c>
      <c r="I11" s="9">
        <f>'kingstreet converison'!N24</f>
        <v>24744.60324419512</v>
      </c>
      <c r="M11" s="9">
        <f t="shared" si="0"/>
        <v>29710.999999999996</v>
      </c>
    </row>
    <row r="13" ht="12.75">
      <c r="M13" s="9">
        <f>SUM(M2:M12)</f>
        <v>469997</v>
      </c>
    </row>
    <row r="14" ht="12.75">
      <c r="M14" s="9">
        <f>-SUM(B2:B11)</f>
        <v>-134174.95868905084</v>
      </c>
    </row>
    <row r="15" ht="12.75">
      <c r="M15" s="9">
        <f>-SUM(C2:C11)</f>
        <v>-8891.096839958878</v>
      </c>
    </row>
    <row r="16" ht="12.75">
      <c r="M16" s="9">
        <f>SUM(M13:M15)</f>
        <v>326930.9444709903</v>
      </c>
    </row>
  </sheetData>
  <printOptions gridLines="1"/>
  <pageMargins left="0.75" right="0.75" top="1" bottom="1" header="0.5" footer="0.5"/>
  <pageSetup fitToHeight="1" fitToWidth="1" horizontalDpi="600" verticalDpi="600" orientation="landscape" scale="82" r:id="rId1"/>
  <headerFooter alignWithMargins="0">
    <oddHeader>&amp;C&amp;A
&amp;F</oddHeader>
    <oddFooter>&amp;L&amp;D&amp;T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H1">
      <selection activeCell="P1" sqref="P1"/>
    </sheetView>
  </sheetViews>
  <sheetFormatPr defaultColWidth="9.140625" defaultRowHeight="12.75"/>
  <cols>
    <col min="1" max="1" width="12.421875" style="0" customWidth="1"/>
    <col min="2" max="2" width="13.7109375" style="0" customWidth="1"/>
    <col min="4" max="4" width="13.7109375" style="0" customWidth="1"/>
    <col min="5" max="5" width="11.00390625" style="0" customWidth="1"/>
    <col min="7" max="7" width="15.140625" style="0" customWidth="1"/>
    <col min="8" max="8" width="13.421875" style="0" customWidth="1"/>
    <col min="9" max="9" width="11.8515625" style="0" customWidth="1"/>
    <col min="10" max="10" width="11.7109375" style="0" customWidth="1"/>
    <col min="11" max="11" width="11.8515625" style="0" customWidth="1"/>
    <col min="12" max="12" width="13.421875" style="0" customWidth="1"/>
    <col min="13" max="13" width="14.57421875" style="0" customWidth="1"/>
    <col min="14" max="14" width="17.00390625" style="0" customWidth="1"/>
    <col min="15" max="15" width="15.421875" style="0" customWidth="1"/>
    <col min="16" max="16" width="11.421875" style="0" customWidth="1"/>
  </cols>
  <sheetData>
    <row r="1" spans="1:18" s="61" customFormat="1" ht="55.5" customHeight="1">
      <c r="A1" s="61" t="s">
        <v>32</v>
      </c>
      <c r="B1" s="62" t="s">
        <v>103</v>
      </c>
      <c r="C1" s="62" t="s">
        <v>62</v>
      </c>
      <c r="D1" s="62" t="s">
        <v>60</v>
      </c>
      <c r="E1" s="62" t="s">
        <v>61</v>
      </c>
      <c r="F1" s="62" t="s">
        <v>58</v>
      </c>
      <c r="G1" s="63" t="s">
        <v>47</v>
      </c>
      <c r="H1" s="61" t="s">
        <v>64</v>
      </c>
      <c r="I1" s="61" t="s">
        <v>46</v>
      </c>
      <c r="J1" s="61" t="s">
        <v>65</v>
      </c>
      <c r="K1" s="61" t="s">
        <v>66</v>
      </c>
      <c r="L1" s="61" t="s">
        <v>67</v>
      </c>
      <c r="M1" s="61" t="s">
        <v>59</v>
      </c>
      <c r="N1" s="61" t="s">
        <v>38</v>
      </c>
      <c r="O1" s="61" t="s">
        <v>55</v>
      </c>
      <c r="P1" s="61" t="s">
        <v>68</v>
      </c>
      <c r="R1" s="61" t="s">
        <v>36</v>
      </c>
    </row>
    <row r="2" spans="1:18" ht="12.75">
      <c r="A2">
        <v>1</v>
      </c>
      <c r="B2" s="9">
        <f>'admin conversion'!N3</f>
        <v>580.8890968647637</v>
      </c>
      <c r="C2" s="9">
        <f>'admin conversion'!N4</f>
        <v>461.61909218530656</v>
      </c>
      <c r="D2" s="9">
        <f>'admin conversion'!N5</f>
        <v>3390.470753392607</v>
      </c>
      <c r="E2" s="9">
        <f>'admin conversion'!N6+'admin conversion'!N8</f>
        <v>3506.317267197005</v>
      </c>
      <c r="F2" s="9">
        <f>'admin conversion'!N7</f>
        <v>1961.3289658399626</v>
      </c>
      <c r="G2" s="9">
        <f>'admin conversion'!N9+'admin conversion'!N10</f>
        <v>19599.374824520357</v>
      </c>
      <c r="R2" s="9">
        <f>SUM(B2:Q2)</f>
        <v>29500</v>
      </c>
    </row>
    <row r="3" spans="1:18" ht="12.75">
      <c r="A3">
        <v>2</v>
      </c>
      <c r="E3" s="9">
        <f>'admin conversion'!N11</f>
        <v>5861.57715547649</v>
      </c>
      <c r="H3" s="9">
        <f>'admin conversion'!N12</f>
        <v>4876.5451032113615</v>
      </c>
      <c r="I3" s="9">
        <f>'admin conversion'!N13</f>
        <v>4261.877741312149</v>
      </c>
      <c r="R3" s="9">
        <f aca="true" t="shared" si="0" ref="R3:R10">SUM(B3:Q3)</f>
        <v>15000</v>
      </c>
    </row>
    <row r="4" spans="1:18" ht="12.75">
      <c r="A4">
        <v>3</v>
      </c>
      <c r="B4" s="9">
        <f>'admin conversion'!N15</f>
        <v>10441.147877434918</v>
      </c>
      <c r="E4" s="9">
        <f>'admin conversion'!N14</f>
        <v>10558.85212256508</v>
      </c>
      <c r="R4" s="9">
        <f t="shared" si="0"/>
        <v>21000</v>
      </c>
    </row>
    <row r="5" spans="1:18" ht="12.75">
      <c r="A5">
        <v>4</v>
      </c>
      <c r="B5" s="9">
        <f>'admin conversion'!N16</f>
        <v>12167.865858237914</v>
      </c>
      <c r="J5" s="9">
        <f>'admin conversion'!N17</f>
        <v>13592.134141762088</v>
      </c>
      <c r="R5" s="9">
        <f t="shared" si="0"/>
        <v>25760</v>
      </c>
    </row>
    <row r="6" spans="1:18" ht="12.75">
      <c r="A6">
        <v>5</v>
      </c>
      <c r="B6" s="9">
        <f>'admin conversion'!N19</f>
        <v>14124.003845092275</v>
      </c>
      <c r="E6" s="9">
        <f>'admin conversion'!N18</f>
        <v>6554.3115476496405</v>
      </c>
      <c r="K6" s="9">
        <f>'admin conversion'!N20</f>
        <v>4191.586861966899</v>
      </c>
      <c r="L6" s="9">
        <f>'admin conversion'!N21</f>
        <v>890.0977452911898</v>
      </c>
      <c r="R6" s="9">
        <f t="shared" si="0"/>
        <v>25760.000000000004</v>
      </c>
    </row>
    <row r="7" spans="1:18" ht="12.75">
      <c r="A7">
        <v>6</v>
      </c>
      <c r="D7" s="9">
        <f>'admin conversion'!N22</f>
        <v>24270.590532699927</v>
      </c>
      <c r="M7" s="9">
        <f>'admin conversion'!N23</f>
        <v>1489.4094673000734</v>
      </c>
      <c r="R7" s="9">
        <f t="shared" si="0"/>
        <v>25760</v>
      </c>
    </row>
    <row r="8" spans="1:18" ht="12.75">
      <c r="A8">
        <v>7</v>
      </c>
      <c r="N8">
        <f>'admin conversion'!N24</f>
        <v>25760</v>
      </c>
      <c r="R8" s="9">
        <f t="shared" si="0"/>
        <v>25760</v>
      </c>
    </row>
    <row r="9" spans="1:18" ht="12.75">
      <c r="A9">
        <v>8</v>
      </c>
      <c r="E9" s="9">
        <f>'admin conversion'!N26</f>
        <v>5775.361721334742</v>
      </c>
      <c r="N9" s="9">
        <f>'admin conversion'!N25</f>
        <v>14366.423549229186</v>
      </c>
      <c r="O9" s="9">
        <f>'admin conversion'!N27</f>
        <v>5618.21472943607</v>
      </c>
      <c r="R9" s="9">
        <f t="shared" si="0"/>
        <v>25759.999999999996</v>
      </c>
    </row>
    <row r="10" spans="1:18" ht="12.75">
      <c r="A10">
        <v>9</v>
      </c>
      <c r="P10">
        <f>'admin conversion'!N28</f>
        <v>25760</v>
      </c>
      <c r="R10" s="9">
        <f t="shared" si="0"/>
        <v>25760</v>
      </c>
    </row>
    <row r="12" ht="12.75">
      <c r="R12" s="9">
        <f>SUM(R2:R11)</f>
        <v>220060</v>
      </c>
    </row>
  </sheetData>
  <printOptions gridLines="1"/>
  <pageMargins left="0.25" right="0.25" top="1" bottom="1" header="0.5" footer="0.5"/>
  <pageSetup fitToHeight="1" fitToWidth="1" horizontalDpi="600" verticalDpi="600" orientation="landscape" scale="61" r:id="rId1"/>
  <headerFooter alignWithMargins="0">
    <oddHeader>&amp;C&amp;A
&amp;F</oddHeader>
    <oddFooter>&amp;L&amp;D&amp;T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workbookViewId="0" topLeftCell="A1">
      <selection activeCell="E1" sqref="E1:E16384"/>
    </sheetView>
  </sheetViews>
  <sheetFormatPr defaultColWidth="9.140625" defaultRowHeight="12.75"/>
  <cols>
    <col min="1" max="1" width="14.28125" style="0" customWidth="1"/>
    <col min="2" max="2" width="11.00390625" style="0" customWidth="1"/>
    <col min="3" max="4" width="14.57421875" style="0" customWidth="1"/>
    <col min="5" max="6" width="15.00390625" style="0" customWidth="1"/>
    <col min="8" max="8" width="17.28125" style="0" customWidth="1"/>
    <col min="10" max="10" width="14.57421875" style="0" customWidth="1"/>
    <col min="11" max="11" width="14.140625" style="0" customWidth="1"/>
    <col min="14" max="14" width="12.7109375" style="0" customWidth="1"/>
    <col min="16" max="16" width="14.140625" style="0" customWidth="1"/>
  </cols>
  <sheetData>
    <row r="1" spans="1:18" s="66" customFormat="1" ht="64.5" customHeight="1">
      <c r="A1" s="66" t="s">
        <v>32</v>
      </c>
      <c r="B1" s="66" t="s">
        <v>62</v>
      </c>
      <c r="C1" s="66" t="s">
        <v>99</v>
      </c>
      <c r="D1" s="66" t="s">
        <v>100</v>
      </c>
      <c r="E1" s="66" t="s">
        <v>105</v>
      </c>
      <c r="F1" s="66" t="s">
        <v>110</v>
      </c>
      <c r="G1" s="66" t="s">
        <v>109</v>
      </c>
      <c r="H1" s="66" t="s">
        <v>107</v>
      </c>
      <c r="I1" s="66" t="s">
        <v>111</v>
      </c>
      <c r="J1" s="66" t="s">
        <v>106</v>
      </c>
      <c r="K1" s="66" t="s">
        <v>108</v>
      </c>
      <c r="L1" s="66" t="s">
        <v>89</v>
      </c>
      <c r="M1" s="66" t="s">
        <v>86</v>
      </c>
      <c r="N1" s="66" t="s">
        <v>87</v>
      </c>
      <c r="O1" s="66" t="s">
        <v>88</v>
      </c>
      <c r="P1" s="66" t="s">
        <v>83</v>
      </c>
      <c r="R1" s="66" t="s">
        <v>36</v>
      </c>
    </row>
    <row r="2" spans="1:18" ht="12.75">
      <c r="A2" t="s">
        <v>77</v>
      </c>
      <c r="B2" s="9">
        <f>'courthouse conversion'!N3</f>
        <v>500.53884299221176</v>
      </c>
      <c r="C2" s="9">
        <f>'courthouse conversion'!N8</f>
        <v>11888.753999526743</v>
      </c>
      <c r="D2" s="9"/>
      <c r="E2" s="9">
        <f>'courthouse conversion'!N6</f>
        <v>21979.54711468225</v>
      </c>
      <c r="F2" s="9">
        <f>'courthouse conversion'!N10</f>
        <v>296.7816026913857</v>
      </c>
      <c r="G2" s="9">
        <f>'courthouse conversion'!N4</f>
        <v>715.4458893610016</v>
      </c>
      <c r="H2" s="9">
        <f>'courthouse conversion'!N5</f>
        <v>2787.014269694132</v>
      </c>
      <c r="I2" s="9">
        <f>'courthouse conversion'!N9</f>
        <v>3503.7719009454827</v>
      </c>
      <c r="K2" s="9">
        <f>'courthouse conversion'!N7</f>
        <v>828.1463801067911</v>
      </c>
      <c r="R2" s="9">
        <f>SUM(B2:Q2)</f>
        <v>42499.99999999999</v>
      </c>
    </row>
    <row r="3" spans="1:18" ht="12.75">
      <c r="A3">
        <v>1</v>
      </c>
      <c r="D3" s="9"/>
      <c r="E3" s="9">
        <f>'courthouse conversion'!N13</f>
        <v>1487.9788961677812</v>
      </c>
      <c r="I3" s="9">
        <f>'courthouse conversion'!N12+'courthouse conversion'!N14</f>
        <v>35016.39718440667</v>
      </c>
      <c r="P3" s="9">
        <f>'courthouse conversion'!N11</f>
        <v>5995.623919425548</v>
      </c>
      <c r="R3" s="9">
        <f aca="true" t="shared" si="0" ref="R3:R15">SUM(B3:Q3)</f>
        <v>42500</v>
      </c>
    </row>
    <row r="4" spans="1:18" ht="12.75">
      <c r="A4" t="s">
        <v>78</v>
      </c>
      <c r="D4" s="9">
        <f>'courthouse conversion'!N17</f>
        <v>3110.85783245617</v>
      </c>
      <c r="E4" s="9">
        <f>'courthouse conversion'!N18</f>
        <v>4885.298291486484</v>
      </c>
      <c r="I4" s="9">
        <f>'courthouse conversion'!N16+'courthouse conversion'!N19</f>
        <v>24757.392570741104</v>
      </c>
      <c r="P4" s="9">
        <f>'courthouse conversion'!N15</f>
        <v>7246.451305316244</v>
      </c>
      <c r="R4" s="9">
        <f t="shared" si="0"/>
        <v>40000</v>
      </c>
    </row>
    <row r="5" spans="1:18" ht="12.75">
      <c r="A5">
        <v>2</v>
      </c>
      <c r="F5" s="9">
        <f>'courthouse conversion'!N21</f>
        <v>31244.598767624135</v>
      </c>
      <c r="J5" s="9">
        <f>'courthouse conversion'!N20</f>
        <v>9271.19939318699</v>
      </c>
      <c r="K5" s="9">
        <f>'courthouse conversion'!N22</f>
        <v>1984.2018391888705</v>
      </c>
      <c r="R5" s="9">
        <f t="shared" si="0"/>
        <v>42499.99999999999</v>
      </c>
    </row>
    <row r="6" spans="1:18" ht="12.75">
      <c r="A6">
        <v>3</v>
      </c>
      <c r="F6" s="9">
        <f>'courthouse conversion'!N24</f>
        <v>16533.731858232157</v>
      </c>
      <c r="G6" s="9">
        <f>'courthouse conversion'!N23</f>
        <v>25300.443548628624</v>
      </c>
      <c r="M6" s="9">
        <f>'courthouse conversion'!N25</f>
        <v>665.8245931392223</v>
      </c>
      <c r="R6" s="9">
        <f t="shared" si="0"/>
        <v>42500.00000000001</v>
      </c>
    </row>
    <row r="7" spans="1:18" ht="12.75">
      <c r="A7">
        <v>4</v>
      </c>
      <c r="K7">
        <f>'courthouse conversion'!N26</f>
        <v>42500</v>
      </c>
      <c r="R7" s="9">
        <f t="shared" si="0"/>
        <v>42500</v>
      </c>
    </row>
    <row r="8" spans="1:18" ht="12.75">
      <c r="A8">
        <v>5</v>
      </c>
      <c r="K8">
        <f>'courthouse conversion'!N27</f>
        <v>42500</v>
      </c>
      <c r="R8" s="9">
        <f t="shared" si="0"/>
        <v>42500</v>
      </c>
    </row>
    <row r="9" spans="1:18" ht="12.75">
      <c r="A9">
        <v>6</v>
      </c>
      <c r="H9" s="9">
        <f>'courthouse conversion'!N28</f>
        <v>26291.306776977974</v>
      </c>
      <c r="N9" s="9">
        <f>'courthouse conversion'!N29</f>
        <v>1328.3985767132913</v>
      </c>
      <c r="O9" s="9">
        <f>'courthouse conversion'!N30</f>
        <v>14880.294646308741</v>
      </c>
      <c r="R9" s="9">
        <f t="shared" si="0"/>
        <v>42500.00000000001</v>
      </c>
    </row>
    <row r="10" spans="1:18" ht="12.75">
      <c r="A10">
        <v>7</v>
      </c>
      <c r="F10" s="9">
        <f>'courthouse conversion'!N31</f>
        <v>36810.84443604523</v>
      </c>
      <c r="K10" s="9">
        <f>'courthouse conversion'!N32</f>
        <v>5689.15556395477</v>
      </c>
      <c r="R10" s="9">
        <f t="shared" si="0"/>
        <v>42500</v>
      </c>
    </row>
    <row r="11" spans="1:18" ht="12.75">
      <c r="A11">
        <v>8</v>
      </c>
      <c r="F11">
        <f>'courthouse conversion'!N33</f>
        <v>42500</v>
      </c>
      <c r="R11" s="9">
        <f t="shared" si="0"/>
        <v>42500</v>
      </c>
    </row>
    <row r="12" spans="1:18" ht="12.75">
      <c r="A12">
        <v>9</v>
      </c>
      <c r="F12">
        <f>'courthouse conversion'!N34</f>
        <v>42500</v>
      </c>
      <c r="R12" s="9">
        <f t="shared" si="0"/>
        <v>42500</v>
      </c>
    </row>
    <row r="13" spans="1:18" ht="12.75">
      <c r="A13">
        <v>10</v>
      </c>
      <c r="F13" s="9">
        <f>'courthouse conversion'!N36</f>
        <v>3443.5123474262973</v>
      </c>
      <c r="G13" s="9">
        <f>'courthouse conversion'!N37</f>
        <v>3720.932726040675</v>
      </c>
      <c r="J13" s="9">
        <f>'courthouse conversion'!N38</f>
        <v>23086.04170419358</v>
      </c>
      <c r="L13" s="9">
        <f>'courthouse conversion'!N35</f>
        <v>12249.513222339448</v>
      </c>
      <c r="R13" s="9">
        <f t="shared" si="0"/>
        <v>42500</v>
      </c>
    </row>
    <row r="14" spans="1:18" ht="12.75">
      <c r="A14">
        <v>11</v>
      </c>
      <c r="J14" s="9">
        <f>'courthouse conversion'!N39</f>
        <v>17200</v>
      </c>
      <c r="R14" s="9">
        <f t="shared" si="0"/>
        <v>17200</v>
      </c>
    </row>
    <row r="15" spans="1:18" ht="12.75">
      <c r="A15">
        <v>12</v>
      </c>
      <c r="F15" s="9">
        <f>'courthouse conversion'!N42</f>
        <v>2709.3034940329335</v>
      </c>
      <c r="J15" s="9">
        <f>'courthouse conversion'!N41</f>
        <v>8059.354662985677</v>
      </c>
      <c r="L15" s="9">
        <f>'courthouse conversion'!N40</f>
        <v>31731.341842981397</v>
      </c>
      <c r="R15" s="9">
        <f t="shared" si="0"/>
        <v>42500.00000000001</v>
      </c>
    </row>
    <row r="16" ht="12.75">
      <c r="R16" s="9">
        <f>SUM(R2:R15)</f>
        <v>567200</v>
      </c>
    </row>
  </sheetData>
  <printOptions gridLines="1"/>
  <pageMargins left="0.25" right="0.25" top="1" bottom="1" header="0.5" footer="0.5"/>
  <pageSetup fitToHeight="1" fitToWidth="1" horizontalDpi="600" verticalDpi="600" orientation="landscape" scale="61" r:id="rId1"/>
  <headerFooter alignWithMargins="0">
    <oddHeader>&amp;C&amp;A
&amp;F</oddHeader>
    <oddFooter>&amp;L&amp;D&amp;T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KUREK</dc:creator>
  <cp:keywords/>
  <dc:description/>
  <cp:lastModifiedBy>David Layton</cp:lastModifiedBy>
  <cp:lastPrinted>2004-02-04T19:25:09Z</cp:lastPrinted>
  <dcterms:created xsi:type="dcterms:W3CDTF">2004-01-09T18:11:02Z</dcterms:created>
  <dcterms:modified xsi:type="dcterms:W3CDTF">2004-02-04T23:32:19Z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-364284003</vt:i4>
  </property>
  <property fmtid="{D5CDD505-2E9C-101B-9397-08002B2CF9AE}" pid="3" name="_EmailSubject">
    <vt:lpwstr>Blocking &amp; Stacking Diagrams</vt:lpwstr>
  </property>
  <property fmtid="{D5CDD505-2E9C-101B-9397-08002B2CF9AE}" pid="4" name="_AuthorEmail">
    <vt:lpwstr>Kamma.Kure@METROKC.GOV</vt:lpwstr>
  </property>
  <property fmtid="{D5CDD505-2E9C-101B-9397-08002B2CF9AE}" pid="5" name="_AuthorEmailDisplayName">
    <vt:lpwstr>Kure, Kamma</vt:lpwstr>
  </property>
  <property fmtid="{D5CDD505-2E9C-101B-9397-08002B2CF9AE}" pid="6" name="_ReviewingToolsShownOnce">
    <vt:lpwstr/>
  </property>
</Properties>
</file>