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9375" windowHeight="4305" firstSheet="1" activeTab="1"/>
  </bookViews>
  <sheets>
    <sheet name="2007 Estimated Financial Plan" sheetId="1" r:id="rId1"/>
    <sheet name="2008 Levy Financial Plan" sheetId="2" r:id="rId2"/>
  </sheets>
  <definedNames>
    <definedName name="Appro">#REF!</definedName>
    <definedName name="Carryover">#REF!</definedName>
    <definedName name="FirstQOO">#REF!</definedName>
    <definedName name="Footnote">#REF!</definedName>
    <definedName name="FourthQOO">#REF!</definedName>
    <definedName name="Other">#REF!</definedName>
    <definedName name="_xlnm.Print_Area" localSheetId="0">'2007 Estimated Financial Plan'!$A$1:$E$58</definedName>
    <definedName name="_xlnm.Print_Area" localSheetId="1">'2008 Levy Financial Plan'!$A$1:$G$48</definedName>
    <definedName name="SecondQOO">#REF!</definedName>
    <definedName name="Table">#REF!</definedName>
    <definedName name="ThirdQOO">#REF!</definedName>
  </definedNames>
  <calcPr fullCalcOnLoad="1"/>
</workbook>
</file>

<file path=xl/comments2.xml><?xml version="1.0" encoding="utf-8"?>
<comments xmlns="http://schemas.openxmlformats.org/spreadsheetml/2006/main">
  <authors>
    <author>Budget</author>
  </authors>
  <commentList>
    <comment ref="A1" authorId="0">
      <text>
        <r>
          <rPr>
            <b/>
            <sz val="8"/>
            <rFont val="Tahoma"/>
            <family val="0"/>
          </rPr>
          <t>Budget:</t>
        </r>
        <r>
          <rPr>
            <sz val="8"/>
            <rFont val="Tahoma"/>
            <family val="0"/>
          </rPr>
          <t xml:space="preserve">
Parks 2008 Levy Subfund?  dt</t>
        </r>
      </text>
    </comment>
    <comment ref="G32" authorId="0">
      <text>
        <r>
          <rPr>
            <b/>
            <sz val="8"/>
            <rFont val="Tahoma"/>
            <family val="0"/>
          </rPr>
          <t>Budget:</t>
        </r>
        <r>
          <rPr>
            <sz val="8"/>
            <rFont val="Tahoma"/>
            <family val="0"/>
          </rPr>
          <t xml:space="preserve">
Changed the formul to read Total Expenditures divided by 12.  dt</t>
        </r>
      </text>
    </comment>
  </commentList>
</comments>
</file>

<file path=xl/sharedStrings.xml><?xml version="1.0" encoding="utf-8"?>
<sst xmlns="http://schemas.openxmlformats.org/spreadsheetml/2006/main" count="129" uniqueCount="106">
  <si>
    <r>
      <t>10</t>
    </r>
    <r>
      <rPr>
        <sz val="10"/>
        <rFont val="Times New Roman"/>
        <family val="1"/>
      </rPr>
      <t xml:space="preserve">  Regional/Rural Expenditures include an additional $150,000 in 2008, inflated annually, for additional trail and open space maintenance (assumes management of 5 additional trail miles and 1,000 acres additional natural land).  All Regional/Rural Levy-derived expenditure growth, including additional trail and open space maintenance, assumed at 4.5% for 2008, 5.0% for 2009, 5.16% for 2010, and 4.8% for 2011-2013.</t>
    </r>
  </si>
  <si>
    <r>
      <t>Parks Levy Subfund</t>
    </r>
    <r>
      <rPr>
        <b/>
        <vertAlign val="superscript"/>
        <sz val="14"/>
        <rFont val="Times New Roman"/>
        <family val="1"/>
      </rPr>
      <t>13</t>
    </r>
  </si>
  <si>
    <r>
      <t>13</t>
    </r>
    <r>
      <rPr>
        <sz val="10"/>
        <rFont val="Times New Roman"/>
        <family val="1"/>
      </rPr>
      <t xml:space="preserve">  In the event that there is a revenue shortfall or cost pressures exceed forecast, the Executive is committed to achieving enhanced service levels through other means, including the potential identification of supplemental financial resources.</t>
    </r>
  </si>
  <si>
    <r>
      <t>12</t>
    </r>
    <r>
      <rPr>
        <sz val="10"/>
        <rFont val="Times New Roman"/>
        <family val="1"/>
      </rPr>
      <t xml:space="preserve">  Partially funds Community Partnerships and Grants (CPG) program, (formerly Association Development Operations Partnerships, or ADOPs, program).  Additional funds are in Parks CIP.  $300K designated for CPG that was not spent in 2004 was identified for reprogramming in 2006.  $99,492 designated for CPG that was not spent in 2005 ($300K was budgeted, $200,508 was spent) is identified for programming in 2007.  Reserve for unexpended CPG funds ensures that Parks sets aside full $1.2M over course of 4-year levy period, as specified by levy ordinance.</t>
    </r>
  </si>
  <si>
    <r>
      <t>2</t>
    </r>
    <r>
      <rPr>
        <sz val="10"/>
        <rFont val="Times New Roman"/>
        <family val="1"/>
      </rPr>
      <t xml:space="preserve">  2006 Estimated based on 14th month ARMS reports. </t>
    </r>
  </si>
  <si>
    <t xml:space="preserve">The 2006 Estimated has been  </t>
  </si>
  <si>
    <t xml:space="preserve">revised per the 14th month </t>
  </si>
  <si>
    <t>ARMS report.</t>
  </si>
  <si>
    <t>22,155,007.12.  The indivi-</t>
  </si>
  <si>
    <t>categories need to be revised</t>
  </si>
  <si>
    <t>Total 2006 expenditures are</t>
  </si>
  <si>
    <t>CPG reserve because it was</t>
  </si>
  <si>
    <t xml:space="preserve">reflected in the 14th month </t>
  </si>
  <si>
    <t xml:space="preserve">I did not include the $99,492 </t>
  </si>
  <si>
    <t>accordingly (not necessarily</t>
  </si>
  <si>
    <t>Quarter Report).</t>
  </si>
  <si>
    <t>for the levy, but in the 1st</t>
  </si>
  <si>
    <t>not an official reserve and not</t>
  </si>
  <si>
    <t>Parks and Recreation Division Operating Levy 2008-2013</t>
  </si>
  <si>
    <r>
      <t xml:space="preserve">Target Fund Balance </t>
    </r>
    <r>
      <rPr>
        <b/>
        <vertAlign val="superscript"/>
        <sz val="12"/>
        <rFont val="Times New Roman"/>
        <family val="1"/>
      </rPr>
      <t>12</t>
    </r>
  </si>
  <si>
    <r>
      <t>12</t>
    </r>
    <r>
      <rPr>
        <sz val="10"/>
        <rFont val="Times New Roman"/>
        <family val="1"/>
      </rPr>
      <t xml:space="preserve">  Target Fund Balance is 1/12th of Total Expenditures. </t>
    </r>
  </si>
  <si>
    <r>
      <t xml:space="preserve">2  </t>
    </r>
    <r>
      <rPr>
        <sz val="10"/>
        <rFont val="Times New Roman"/>
        <family val="1"/>
      </rPr>
      <t>The Parks 2004 Levy Subfund was a new fund in 2004 for a voter-approved levy ending in 2007.  This financial plan assumes that the fund will be authorized to continue for the 2008-2013 levy as the Parks Levy Fund.</t>
    </r>
  </si>
  <si>
    <r>
      <t>9</t>
    </r>
    <r>
      <rPr>
        <sz val="10"/>
        <rFont val="Times New Roman"/>
        <family val="1"/>
      </rPr>
      <t xml:space="preserve">  Transfers from Funds 3160 and 3490 (backed by REETs 1 &amp; 2) to support Capital &amp; Land Management.  Note that some portion of CIP/Land Management Expenditures is associated with UGA facilities.  2008-2013 Projected assume 5% annual growth in these expenditures and revenues.</t>
    </r>
  </si>
  <si>
    <r>
      <t>3</t>
    </r>
    <r>
      <rPr>
        <sz val="10"/>
        <rFont val="Times New Roman"/>
        <family val="1"/>
      </rPr>
      <t xml:space="preserve">  2008-2013 Levy Proceeds assumed at levy rate of 5 cents, with Levy Proceeds going to the Parks Levy Subfund.  Revenue growth assumed at 4.66% in 2009 (2.82% CPI plus 1.84% growth for new construction) and 4.8% in 2010-2013 (3.00% CPI plus 1.80% growth for new construction).</t>
    </r>
  </si>
  <si>
    <r>
      <t>8</t>
    </r>
    <r>
      <rPr>
        <sz val="10"/>
        <rFont val="Times New Roman"/>
        <family val="1"/>
      </rPr>
      <t xml:space="preserve">  The CX Transfer is used to cover costs in the Urban Growth Area (UGA) per the financial plan approved by the King County Council in adopting levy ordinance 14586.  2007 Adopted UGA CX-derived Expenditures and CX Transfer Revenues include reduction due to anticipated East Renton Annexation.    </t>
    </r>
    <r>
      <rPr>
        <vertAlign val="superscript"/>
        <sz val="10"/>
        <rFont val="Times New Roman"/>
        <family val="1"/>
      </rPr>
      <t xml:space="preserve"> </t>
    </r>
  </si>
  <si>
    <r>
      <t>9</t>
    </r>
    <r>
      <rPr>
        <sz val="10"/>
        <rFont val="Times New Roman"/>
        <family val="1"/>
      </rPr>
      <t xml:space="preserve">  Transfers from Funds 3160 and 3490 (backed by REETs 1 &amp; 2) to support Capital &amp; Land Management.  Note that some portion of CIP/Land Management Expenditures is associated with UGA facilities  This is not backed by CX funds or business revenues and is not included in the UGA Business Revenue-derived or UGA CX-derived Expenditures.</t>
    </r>
  </si>
  <si>
    <r>
      <t>10</t>
    </r>
    <r>
      <rPr>
        <sz val="10"/>
        <rFont val="Times New Roman"/>
        <family val="1"/>
      </rPr>
      <t xml:space="preserve">  HLS expenditures backed by HLS grant revenues.  Some revenues for work in 2005 were received in 2006.  In 2006, OMB policy change resulted in 2006 HLS expenditures being offset with negative expenditures rather than revenues; as a result, ARMS reflects lower estimated revenues and expenditures than anticipated and budgeted. </t>
    </r>
  </si>
  <si>
    <r>
      <t>11</t>
    </r>
    <r>
      <rPr>
        <sz val="10"/>
        <rFont val="Times New Roman"/>
        <family val="1"/>
      </rPr>
      <t xml:space="preserve">  Regional/Rural Expenditures include an additional $116,500 in 2007 per financial plan approved by King County Council in adopting levy ordinance 14586 (assumes 5 additional trail miles at management cost of $6,300/mile and 1,000 additional natural land acres at $85/acre).</t>
    </r>
  </si>
  <si>
    <r>
      <t>16</t>
    </r>
    <r>
      <rPr>
        <sz val="10"/>
        <rFont val="Times New Roman"/>
        <family val="1"/>
      </rPr>
      <t xml:space="preserve">  2006 to 2007 Reappropriation and Encumbrance Carryovers</t>
    </r>
    <r>
      <rPr>
        <sz val="10"/>
        <rFont val="Times New Roman"/>
        <family val="1"/>
      </rPr>
      <t xml:space="preserve"> have been approved </t>
    </r>
    <r>
      <rPr>
        <sz val="10"/>
        <rFont val="Times New Roman"/>
        <family val="1"/>
      </rPr>
      <t xml:space="preserve">by OMB.  </t>
    </r>
    <r>
      <rPr>
        <sz val="10"/>
        <rFont val="Times New Roman"/>
        <family val="1"/>
      </rPr>
      <t>The $213,793 Reappropriations and $80,000 of the Encumbrance Carryover, combined with $300,000 included in the 2007 Adopted Budget, will allow Parks to fully expend the $600K 2006 CPG appropriation authority.</t>
    </r>
  </si>
  <si>
    <t>*  2006 &amp; 2007 Storm-related Costs</t>
  </si>
  <si>
    <t>one-time</t>
  </si>
  <si>
    <r>
      <t xml:space="preserve">5 </t>
    </r>
    <r>
      <rPr>
        <sz val="10"/>
        <rFont val="Times New Roman"/>
        <family val="1"/>
      </rPr>
      <t xml:space="preserve"> Interest Earnings assumed at 5% annually.  No service fee was included in this estimate.</t>
    </r>
  </si>
  <si>
    <t>Parks 2004 Levy Subfund</t>
  </si>
  <si>
    <t>Fund 1451/Dept 0640</t>
  </si>
  <si>
    <t>2007 Adopted</t>
  </si>
  <si>
    <t>2007 Revised</t>
  </si>
  <si>
    <t xml:space="preserve">2007 Estimated </t>
  </si>
  <si>
    <t xml:space="preserve">Beginning Fund Balance </t>
  </si>
  <si>
    <t>*</t>
  </si>
  <si>
    <r>
      <t xml:space="preserve">2006 Estimated </t>
    </r>
    <r>
      <rPr>
        <b/>
        <vertAlign val="superscript"/>
        <sz val="12"/>
        <rFont val="Times New Roman"/>
        <family val="1"/>
      </rPr>
      <t>2</t>
    </r>
  </si>
  <si>
    <r>
      <t xml:space="preserve">*  Levy Proceeds </t>
    </r>
    <r>
      <rPr>
        <vertAlign val="superscript"/>
        <sz val="12"/>
        <rFont val="Times New Roman"/>
        <family val="1"/>
      </rPr>
      <t>1,3</t>
    </r>
  </si>
  <si>
    <r>
      <t xml:space="preserve">*  Delinquent Levy Collections </t>
    </r>
    <r>
      <rPr>
        <vertAlign val="superscript"/>
        <sz val="12"/>
        <rFont val="Times New Roman"/>
        <family val="1"/>
      </rPr>
      <t>3</t>
    </r>
  </si>
  <si>
    <r>
      <t xml:space="preserve">*  Interest </t>
    </r>
    <r>
      <rPr>
        <vertAlign val="superscript"/>
        <sz val="12"/>
        <rFont val="Times New Roman"/>
        <family val="1"/>
      </rPr>
      <t>4</t>
    </r>
  </si>
  <si>
    <r>
      <t xml:space="preserve">*  Regional/Rural Business Revenues </t>
    </r>
    <r>
      <rPr>
        <vertAlign val="superscript"/>
        <sz val="12"/>
        <rFont val="Times New Roman"/>
        <family val="1"/>
      </rPr>
      <t>5,6</t>
    </r>
  </si>
  <si>
    <r>
      <t xml:space="preserve">*  UGA Business Revenues </t>
    </r>
    <r>
      <rPr>
        <vertAlign val="superscript"/>
        <sz val="12"/>
        <rFont val="Times New Roman"/>
        <family val="1"/>
      </rPr>
      <t>6</t>
    </r>
  </si>
  <si>
    <r>
      <t xml:space="preserve">*  Homeland Security Grant </t>
    </r>
    <r>
      <rPr>
        <vertAlign val="superscript"/>
        <sz val="12"/>
        <rFont val="Times New Roman"/>
        <family val="1"/>
      </rPr>
      <t>10</t>
    </r>
  </si>
  <si>
    <r>
      <t xml:space="preserve">* Quarterly Omnibus Ordinance </t>
    </r>
    <r>
      <rPr>
        <vertAlign val="superscript"/>
        <sz val="12"/>
        <rFont val="Times New Roman"/>
        <family val="1"/>
      </rPr>
      <t>13</t>
    </r>
  </si>
  <si>
    <r>
      <t xml:space="preserve">*  Regional/Rural Levy-derived Expenditures </t>
    </r>
    <r>
      <rPr>
        <vertAlign val="superscript"/>
        <sz val="12"/>
        <rFont val="Times New Roman"/>
        <family val="1"/>
      </rPr>
      <t>6,11</t>
    </r>
  </si>
  <si>
    <r>
      <t xml:space="preserve">*  Regional/Rural Expenditures (Business Revenue-derived) </t>
    </r>
    <r>
      <rPr>
        <vertAlign val="superscript"/>
        <sz val="12"/>
        <rFont val="Times New Roman"/>
        <family val="1"/>
      </rPr>
      <t>6</t>
    </r>
  </si>
  <si>
    <r>
      <t xml:space="preserve">*  CIP/Land Management Expenditures </t>
    </r>
    <r>
      <rPr>
        <vertAlign val="superscript"/>
        <sz val="12"/>
        <rFont val="Times New Roman"/>
        <family val="1"/>
      </rPr>
      <t>9</t>
    </r>
  </si>
  <si>
    <r>
      <t xml:space="preserve">*  CPG (formerly ADOPS) Expenditures </t>
    </r>
    <r>
      <rPr>
        <vertAlign val="superscript"/>
        <sz val="12"/>
        <rFont val="Times New Roman"/>
        <family val="1"/>
      </rPr>
      <t>12</t>
    </r>
  </si>
  <si>
    <r>
      <t xml:space="preserve">*  Homeland Security Grant Expenditures </t>
    </r>
    <r>
      <rPr>
        <vertAlign val="superscript"/>
        <sz val="12"/>
        <rFont val="Times New Roman"/>
        <family val="1"/>
      </rPr>
      <t>10</t>
    </r>
  </si>
  <si>
    <r>
      <t xml:space="preserve">*  2006 to 2007 Encumbrance Carryover </t>
    </r>
    <r>
      <rPr>
        <vertAlign val="superscript"/>
        <sz val="12"/>
        <rFont val="Times New Roman"/>
        <family val="1"/>
      </rPr>
      <t>12,16</t>
    </r>
  </si>
  <si>
    <r>
      <t xml:space="preserve">*  2006 to 2007 Reappropriation </t>
    </r>
    <r>
      <rPr>
        <vertAlign val="superscript"/>
        <sz val="12"/>
        <rFont val="Times New Roman"/>
        <family val="1"/>
      </rPr>
      <t>12,16</t>
    </r>
  </si>
  <si>
    <r>
      <t xml:space="preserve">*  Quarterly Omnibus Ordinance </t>
    </r>
    <r>
      <rPr>
        <vertAlign val="superscript"/>
        <sz val="12"/>
        <rFont val="Times New Roman"/>
        <family val="1"/>
      </rPr>
      <t>13</t>
    </r>
  </si>
  <si>
    <r>
      <t xml:space="preserve">Estimated Underexpenditures </t>
    </r>
    <r>
      <rPr>
        <b/>
        <vertAlign val="superscript"/>
        <sz val="12"/>
        <rFont val="Times New Roman"/>
        <family val="1"/>
      </rPr>
      <t>14</t>
    </r>
  </si>
  <si>
    <r>
      <t xml:space="preserve">Target Fund Balance </t>
    </r>
    <r>
      <rPr>
        <b/>
        <vertAlign val="superscript"/>
        <sz val="12"/>
        <rFont val="Times New Roman"/>
        <family val="1"/>
      </rPr>
      <t>15</t>
    </r>
  </si>
  <si>
    <r>
      <t xml:space="preserve">1  </t>
    </r>
    <r>
      <rPr>
        <sz val="10"/>
        <rFont val="Times New Roman"/>
        <family val="1"/>
      </rPr>
      <t xml:space="preserve">Parks 2004 Levy Subfund was a new fund in 2004.  The voter-approved levy is for four years, ending in 2007.  </t>
    </r>
  </si>
  <si>
    <r>
      <t>3</t>
    </r>
    <r>
      <rPr>
        <sz val="10"/>
        <rFont val="Times New Roman"/>
        <family val="1"/>
      </rPr>
      <t xml:space="preserve">  2007 Levy Proceeds and Delinquent Levy Collections revised by OMB September 2006.</t>
    </r>
  </si>
  <si>
    <r>
      <t xml:space="preserve">4 </t>
    </r>
    <r>
      <rPr>
        <sz val="10"/>
        <rFont val="Times New Roman"/>
        <family val="1"/>
      </rPr>
      <t xml:space="preserve"> Interest Earnings based on an interest rate of 5.1% in 2007, with a 20 basis point investment service fee deducted.</t>
    </r>
  </si>
  <si>
    <r>
      <t>5</t>
    </r>
    <r>
      <rPr>
        <sz val="10"/>
        <rFont val="Times New Roman"/>
        <family val="1"/>
      </rPr>
      <t xml:space="preserve">  In this financial plan, Regional/Rural Business Revenues in 2006 include reimbursements for capital-backed expenditures.</t>
    </r>
  </si>
  <si>
    <r>
      <t>6</t>
    </r>
    <r>
      <rPr>
        <sz val="10"/>
        <rFont val="Times New Roman"/>
        <family val="1"/>
      </rPr>
      <t xml:space="preserve">  Regional/Rural and UGA categories are tracked by the Parks Division.  2006 Estimated preliminary estimate as of 2/15/07. </t>
    </r>
  </si>
  <si>
    <r>
      <t xml:space="preserve">13  </t>
    </r>
    <r>
      <rPr>
        <sz val="10"/>
        <rFont val="Times New Roman"/>
        <family val="1"/>
      </rPr>
      <t>1st Quarter Omnibus 2007 includes appropriation of $5,623 and revenues of $5,623 for East Renton Annexation, which did not transfer as anticipated.</t>
    </r>
  </si>
  <si>
    <r>
      <t>14</t>
    </r>
    <r>
      <rPr>
        <sz val="10"/>
        <rFont val="Times New Roman"/>
        <family val="1"/>
      </rPr>
      <t xml:space="preserve">  Estimated Underexpenditures 2% of Total Expenditures.  Estimated Underexpenditures include 2% Underexpenditure required for UGA Expenditures funded by CX Transfer.</t>
    </r>
  </si>
  <si>
    <r>
      <t>15</t>
    </r>
    <r>
      <rPr>
        <sz val="10"/>
        <rFont val="Times New Roman"/>
        <family val="1"/>
      </rPr>
      <t xml:space="preserve">  Target Fund Balance is 1/12th of Total Expenditures, excluding Homeland Security Grant expenditures. </t>
    </r>
  </si>
  <si>
    <t>Category</t>
  </si>
  <si>
    <t>2008 Projected</t>
  </si>
  <si>
    <t>2009 Projected</t>
  </si>
  <si>
    <t>2010 Projected</t>
  </si>
  <si>
    <t>2011 Projected</t>
  </si>
  <si>
    <t>2012 Projected</t>
  </si>
  <si>
    <t>2013 Projected</t>
  </si>
  <si>
    <t>Revenues</t>
  </si>
  <si>
    <t>Total Revenues</t>
  </si>
  <si>
    <t>Expenditures</t>
  </si>
  <si>
    <t>Total Expenditures</t>
  </si>
  <si>
    <t>Other Fund Transactions</t>
  </si>
  <si>
    <t>Total Other Fund Transactions</t>
  </si>
  <si>
    <t>Ending Fund Balance</t>
  </si>
  <si>
    <t>Designations and Reserves</t>
  </si>
  <si>
    <t xml:space="preserve">*  </t>
  </si>
  <si>
    <t>Total Designations and Reserves</t>
  </si>
  <si>
    <t>Ending Undesignated Fund Balance</t>
  </si>
  <si>
    <t>Financial Plan Notes:</t>
  </si>
  <si>
    <r>
      <t>Beginning Fund Balance</t>
    </r>
    <r>
      <rPr>
        <b/>
        <vertAlign val="superscript"/>
        <sz val="12"/>
        <rFont val="Times New Roman"/>
        <family val="1"/>
      </rPr>
      <t xml:space="preserve"> 1</t>
    </r>
  </si>
  <si>
    <r>
      <t xml:space="preserve">*  Levy Proceeds </t>
    </r>
    <r>
      <rPr>
        <vertAlign val="superscript"/>
        <sz val="12"/>
        <rFont val="Times New Roman"/>
        <family val="1"/>
      </rPr>
      <t>2,3,4</t>
    </r>
  </si>
  <si>
    <r>
      <t xml:space="preserve">*  Interest </t>
    </r>
    <r>
      <rPr>
        <vertAlign val="superscript"/>
        <sz val="12"/>
        <rFont val="Times New Roman"/>
        <family val="1"/>
      </rPr>
      <t>5</t>
    </r>
  </si>
  <si>
    <r>
      <t xml:space="preserve">*  Regional/Rural Business Revenues </t>
    </r>
    <r>
      <rPr>
        <vertAlign val="superscript"/>
        <sz val="12"/>
        <rFont val="Times New Roman"/>
        <family val="1"/>
      </rPr>
      <t>6,7</t>
    </r>
  </si>
  <si>
    <r>
      <t xml:space="preserve">*  UGA Business Revenues </t>
    </r>
    <r>
      <rPr>
        <vertAlign val="superscript"/>
        <sz val="12"/>
        <rFont val="Times New Roman"/>
        <family val="1"/>
      </rPr>
      <t>7</t>
    </r>
  </si>
  <si>
    <r>
      <t xml:space="preserve">*  CX Transfer </t>
    </r>
    <r>
      <rPr>
        <vertAlign val="superscript"/>
        <sz val="12"/>
        <rFont val="Times New Roman"/>
        <family val="1"/>
      </rPr>
      <t>8</t>
    </r>
  </si>
  <si>
    <r>
      <t xml:space="preserve">*  CIP </t>
    </r>
    <r>
      <rPr>
        <vertAlign val="superscript"/>
        <sz val="12"/>
        <rFont val="Times New Roman"/>
        <family val="1"/>
      </rPr>
      <t>9</t>
    </r>
  </si>
  <si>
    <r>
      <t xml:space="preserve">*  Regional/Rural Levy-derived Expenditures </t>
    </r>
    <r>
      <rPr>
        <vertAlign val="superscript"/>
        <sz val="12"/>
        <rFont val="Times New Roman"/>
        <family val="1"/>
      </rPr>
      <t>6,10</t>
    </r>
  </si>
  <si>
    <r>
      <t xml:space="preserve">*  Regional/Rural Expenditures (Business Revenue-derived) </t>
    </r>
    <r>
      <rPr>
        <vertAlign val="superscript"/>
        <sz val="12"/>
        <rFont val="Times New Roman"/>
        <family val="1"/>
      </rPr>
      <t>6,10</t>
    </r>
  </si>
  <si>
    <r>
      <t xml:space="preserve">*  Urban Growth Area Expenditures (Business Revenue-derived) </t>
    </r>
    <r>
      <rPr>
        <vertAlign val="superscript"/>
        <sz val="12"/>
        <rFont val="Times New Roman"/>
        <family val="1"/>
      </rPr>
      <t>6</t>
    </r>
  </si>
  <si>
    <r>
      <t xml:space="preserve">*  Urban Growth Area Expenditures (CX-derived) </t>
    </r>
    <r>
      <rPr>
        <vertAlign val="superscript"/>
        <sz val="12"/>
        <rFont val="Times New Roman"/>
        <family val="1"/>
      </rPr>
      <t>6,8</t>
    </r>
  </si>
  <si>
    <r>
      <t xml:space="preserve">*  CIP/Land Management Expenditures </t>
    </r>
    <r>
      <rPr>
        <vertAlign val="superscript"/>
        <sz val="12"/>
        <rFont val="Times New Roman"/>
        <family val="1"/>
      </rPr>
      <t>8</t>
    </r>
  </si>
  <si>
    <r>
      <t xml:space="preserve">*  CPG Expenditures </t>
    </r>
    <r>
      <rPr>
        <vertAlign val="superscript"/>
        <sz val="12"/>
        <rFont val="Times New Roman"/>
        <family val="1"/>
      </rPr>
      <t>11</t>
    </r>
  </si>
  <si>
    <r>
      <t xml:space="preserve">4  </t>
    </r>
    <r>
      <rPr>
        <sz val="10"/>
        <rFont val="Times New Roman"/>
        <family val="1"/>
      </rPr>
      <t>2008-2013 Levy Proceeds include delinquent collections.</t>
    </r>
  </si>
  <si>
    <r>
      <t>6</t>
    </r>
    <r>
      <rPr>
        <sz val="10"/>
        <rFont val="Times New Roman"/>
        <family val="1"/>
      </rPr>
      <t xml:space="preserve">  Regional/Rural and UGA categories will be tracked by the Parks Division.  Assumes higher level of maintenance (per levy ordinance) and annual increases for trails and open space.  </t>
    </r>
  </si>
  <si>
    <r>
      <t>7</t>
    </r>
    <r>
      <rPr>
        <sz val="10"/>
        <rFont val="Times New Roman"/>
        <family val="1"/>
      </rPr>
      <t xml:space="preserve">  Growth rate assumed at 5% for Regional/Rural and UGA Business Revenues from 2008 through 2013.</t>
    </r>
  </si>
  <si>
    <r>
      <t>11</t>
    </r>
    <r>
      <rPr>
        <sz val="10"/>
        <rFont val="Times New Roman"/>
        <family val="1"/>
      </rPr>
      <t xml:space="preserve">  Partially funds Community Partnerships &amp; Grants (CPG) program.  Additional funds are in Parks CIP.  </t>
    </r>
  </si>
  <si>
    <r>
      <t xml:space="preserve">Estimated Underexpenditures </t>
    </r>
    <r>
      <rPr>
        <b/>
        <vertAlign val="superscript"/>
        <sz val="12"/>
        <rFont val="Times New Roman"/>
        <family val="1"/>
      </rPr>
      <t>8</t>
    </r>
  </si>
  <si>
    <r>
      <t>8</t>
    </r>
    <r>
      <rPr>
        <sz val="10"/>
        <rFont val="Times New Roman"/>
        <family val="1"/>
      </rPr>
      <t xml:space="preserve">  The CX Transfer is used to cover expenditures in the Urban Growth Area (UGA) per the financial plan approved by the King County Council in adopting levy ordinance 14586.  CX-derived expenditures are inflated 5% annually.  These expenditures and the CX revenue supporting them will decline as parks in the UGA transfer to other jurisdictions.  The revenues reflect a 2% underexpenditure. </t>
    </r>
  </si>
  <si>
    <r>
      <t>1</t>
    </r>
    <r>
      <rPr>
        <sz val="10"/>
        <rFont val="Times New Roman"/>
        <family val="1"/>
      </rPr>
      <t xml:space="preserve">  2008 Projected beginning fund balance is 2007 Estimated Ending Fund Balance for the Parks 2004 Levy Subfund 1451.</t>
    </r>
  </si>
  <si>
    <t xml:space="preserve">2007 Parks and Recreation Division Operating Financial Plan </t>
  </si>
  <si>
    <t>Attachment A to the Letter</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</si>
</sst>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0;[Red]\(#,##0\)"/>
    <numFmt numFmtId="173" formatCode="#,##0;[Red]\(#,##0\);0"/>
    <numFmt numFmtId="174" formatCode="m/d/yy;@"/>
    <numFmt numFmtId="175" formatCode="_(&quot;$&quot;* #,##0.0_);_(&quot;$&quot;* \(#,##0.0\);_(&quot;$&quot;* &quot;-&quot;??_);_(@_)"/>
    <numFmt numFmtId="176" formatCode="_(&quot;$&quot;* #,##0_);_(&quot;$&quot;* \(#,##0\);_(&quot;$&quot;* &quot;-&quot;??_);_(@_)"/>
    <numFmt numFmtId="177" formatCode="#,##0.00000_);\(#,##0.00000\)"/>
    <numFmt numFmtId="178" formatCode="#,##0.0000_);\(#,##0.0000\)"/>
    <numFmt numFmtId="179" formatCode="#,##0.0_);\(#,##0.0\)"/>
    <numFmt numFmtId="180" formatCode="#,##0.000_);\(#,##0.000\)"/>
    <numFmt numFmtId="181" formatCode="#,##0.0000000_);\(#,##0.0000000\)"/>
  </numFmts>
  <fonts count="21">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12"/>
      <name val="Times New Roman"/>
      <family val="0"/>
    </font>
    <font>
      <sz val="8"/>
      <name val="Arial"/>
      <family val="0"/>
    </font>
    <font>
      <b/>
      <sz val="14"/>
      <name val="Times New Roman"/>
      <family val="1"/>
    </font>
    <font>
      <b/>
      <sz val="12"/>
      <name val="Times New Roman"/>
      <family val="1"/>
    </font>
    <font>
      <b/>
      <sz val="10"/>
      <name val="Times New Roman"/>
      <family val="0"/>
    </font>
    <font>
      <b/>
      <vertAlign val="superscript"/>
      <sz val="12"/>
      <name val="Times New Roman"/>
      <family val="1"/>
    </font>
    <font>
      <vertAlign val="superscript"/>
      <sz val="12"/>
      <name val="Times New Roman"/>
      <family val="1"/>
    </font>
    <font>
      <sz val="10"/>
      <name val="Times New Roman"/>
      <family val="1"/>
    </font>
    <font>
      <vertAlign val="superscript"/>
      <sz val="10"/>
      <name val="Times New Roman"/>
      <family val="1"/>
    </font>
    <font>
      <sz val="8"/>
      <name val="Tahoma"/>
      <family val="0"/>
    </font>
    <font>
      <b/>
      <sz val="8"/>
      <name val="Tahoma"/>
      <family val="0"/>
    </font>
    <font>
      <b/>
      <vertAlign val="superscript"/>
      <sz val="14"/>
      <name val="Times New Roman"/>
      <family val="1"/>
    </font>
    <font>
      <b/>
      <sz val="14"/>
      <name val="Arial"/>
      <family val="0"/>
    </font>
    <font>
      <sz val="14"/>
      <name val="Arial"/>
      <family val="0"/>
    </font>
    <font>
      <b/>
      <sz val="8"/>
      <name val="Arial"/>
      <family val="2"/>
    </font>
  </fonts>
  <fills count="6">
    <fill>
      <patternFill/>
    </fill>
    <fill>
      <patternFill patternType="gray125"/>
    </fill>
    <fill>
      <patternFill patternType="solid">
        <fgColor indexed="9"/>
        <bgColor indexed="64"/>
      </patternFill>
    </fill>
    <fill>
      <patternFill patternType="solid">
        <fgColor indexed="45"/>
        <bgColor indexed="64"/>
      </patternFill>
    </fill>
    <fill>
      <patternFill patternType="solid">
        <fgColor indexed="43"/>
        <bgColor indexed="64"/>
      </patternFill>
    </fill>
    <fill>
      <patternFill patternType="solid">
        <fgColor indexed="44"/>
        <bgColor indexed="64"/>
      </patternFill>
    </fill>
  </fills>
  <borders count="12">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37" fontId="6" fillId="0" borderId="0">
      <alignment/>
      <protection/>
    </xf>
    <xf numFmtId="9" fontId="0" fillId="0" borderId="0" applyFont="0" applyFill="0" applyBorder="0" applyAlignment="0" applyProtection="0"/>
  </cellStyleXfs>
  <cellXfs count="91">
    <xf numFmtId="0" fontId="0" fillId="0" borderId="0" xfId="0" applyAlignment="1">
      <alignment/>
    </xf>
    <xf numFmtId="0" fontId="0" fillId="0" borderId="0" xfId="0" applyBorder="1" applyAlignment="1">
      <alignment/>
    </xf>
    <xf numFmtId="37" fontId="10" fillId="0" borderId="1" xfId="21" applyFont="1" applyBorder="1" applyAlignment="1">
      <alignment horizontal="left" wrapText="1"/>
      <protection/>
    </xf>
    <xf numFmtId="37" fontId="9" fillId="0" borderId="2" xfId="21" applyFont="1" applyFill="1" applyBorder="1" applyAlignment="1">
      <alignment horizontal="left"/>
      <protection/>
    </xf>
    <xf numFmtId="37" fontId="9" fillId="0" borderId="2" xfId="0" applyNumberFormat="1" applyFont="1" applyFill="1" applyBorder="1" applyAlignment="1">
      <alignment/>
    </xf>
    <xf numFmtId="0" fontId="9" fillId="0" borderId="0" xfId="0" applyFont="1" applyAlignment="1">
      <alignment/>
    </xf>
    <xf numFmtId="37" fontId="9" fillId="0" borderId="3" xfId="21" applyFont="1" applyFill="1" applyBorder="1" applyAlignment="1">
      <alignment horizontal="left"/>
      <protection/>
    </xf>
    <xf numFmtId="0" fontId="6" fillId="0" borderId="4" xfId="0" applyFont="1" applyFill="1" applyBorder="1" applyAlignment="1">
      <alignment/>
    </xf>
    <xf numFmtId="0" fontId="6" fillId="0" borderId="0" xfId="0" applyFont="1" applyAlignment="1">
      <alignment/>
    </xf>
    <xf numFmtId="37" fontId="6" fillId="0" borderId="5" xfId="21" applyFont="1" applyBorder="1" applyAlignment="1">
      <alignment horizontal="left"/>
      <protection/>
    </xf>
    <xf numFmtId="37" fontId="6" fillId="0" borderId="4" xfId="0" applyNumberFormat="1" applyFont="1" applyFill="1" applyBorder="1" applyAlignment="1">
      <alignment/>
    </xf>
    <xf numFmtId="38" fontId="6" fillId="0" borderId="4" xfId="0" applyNumberFormat="1" applyFont="1" applyFill="1" applyBorder="1" applyAlignment="1">
      <alignment/>
    </xf>
    <xf numFmtId="37" fontId="6" fillId="0" borderId="4" xfId="15" applyNumberFormat="1" applyFont="1" applyFill="1" applyBorder="1" applyAlignment="1">
      <alignment/>
    </xf>
    <xf numFmtId="37" fontId="6" fillId="0" borderId="5" xfId="21" applyFont="1" applyFill="1" applyBorder="1" applyAlignment="1">
      <alignment horizontal="left"/>
      <protection/>
    </xf>
    <xf numFmtId="37" fontId="9" fillId="0" borderId="6" xfId="21" applyFont="1" applyFill="1" applyBorder="1" applyAlignment="1">
      <alignment horizontal="left"/>
      <protection/>
    </xf>
    <xf numFmtId="37" fontId="9" fillId="0" borderId="7" xfId="0" applyNumberFormat="1" applyFont="1" applyFill="1" applyBorder="1" applyAlignment="1">
      <alignment/>
    </xf>
    <xf numFmtId="37" fontId="9" fillId="0" borderId="4" xfId="21" applyFont="1" applyFill="1" applyBorder="1" applyAlignment="1">
      <alignment horizontal="left"/>
      <protection/>
    </xf>
    <xf numFmtId="37" fontId="6" fillId="0" borderId="4" xfId="21" applyFont="1" applyFill="1" applyBorder="1" applyAlignment="1">
      <alignment horizontal="left"/>
      <protection/>
    </xf>
    <xf numFmtId="37" fontId="9" fillId="0" borderId="7" xfId="21" applyFont="1" applyFill="1" applyBorder="1" applyAlignment="1">
      <alignment horizontal="left"/>
      <protection/>
    </xf>
    <xf numFmtId="37" fontId="9" fillId="0" borderId="7" xfId="15" applyNumberFormat="1" applyFont="1" applyBorder="1" applyAlignment="1">
      <alignment/>
    </xf>
    <xf numFmtId="37" fontId="9" fillId="0" borderId="4" xfId="21" applyFont="1" applyFill="1" applyBorder="1" applyAlignment="1">
      <alignment horizontal="left"/>
      <protection/>
    </xf>
    <xf numFmtId="37" fontId="6" fillId="0" borderId="4" xfId="0" applyNumberFormat="1" applyFont="1" applyBorder="1" applyAlignment="1">
      <alignment/>
    </xf>
    <xf numFmtId="0" fontId="9" fillId="0" borderId="0" xfId="0" applyFont="1" applyAlignment="1">
      <alignment/>
    </xf>
    <xf numFmtId="37" fontId="9" fillId="0" borderId="7" xfId="0" applyNumberFormat="1" applyFont="1" applyBorder="1" applyAlignment="1">
      <alignment/>
    </xf>
    <xf numFmtId="0" fontId="6" fillId="0" borderId="0" xfId="0" applyFont="1" applyBorder="1" applyAlignment="1">
      <alignment/>
    </xf>
    <xf numFmtId="0" fontId="6" fillId="0" borderId="1" xfId="0" applyFont="1" applyBorder="1" applyAlignment="1">
      <alignment/>
    </xf>
    <xf numFmtId="0" fontId="6" fillId="0" borderId="4" xfId="0" applyFont="1" applyBorder="1" applyAlignment="1">
      <alignment/>
    </xf>
    <xf numFmtId="37" fontId="9" fillId="0" borderId="2" xfId="21" applyFont="1" applyFill="1" applyBorder="1" applyAlignment="1" quotePrefix="1">
      <alignment horizontal="left"/>
      <protection/>
    </xf>
    <xf numFmtId="37" fontId="9" fillId="0" borderId="0" xfId="21" applyFont="1" applyFill="1" applyBorder="1" applyAlignment="1" quotePrefix="1">
      <alignment horizontal="left"/>
      <protection/>
    </xf>
    <xf numFmtId="37" fontId="9" fillId="0" borderId="0" xfId="0" applyNumberFormat="1" applyFont="1" applyBorder="1" applyAlignment="1">
      <alignment/>
    </xf>
    <xf numFmtId="37" fontId="10" fillId="0" borderId="0" xfId="21" applyFont="1" applyAlignment="1">
      <alignment horizontal="left"/>
      <protection/>
    </xf>
    <xf numFmtId="0" fontId="13" fillId="0" borderId="0" xfId="0" applyFont="1" applyAlignment="1">
      <alignment/>
    </xf>
    <xf numFmtId="0" fontId="13" fillId="0" borderId="0" xfId="0" applyFont="1" applyAlignment="1">
      <alignment wrapText="1"/>
    </xf>
    <xf numFmtId="0" fontId="0" fillId="0" borderId="0" xfId="0" applyAlignment="1">
      <alignment horizontal="right"/>
    </xf>
    <xf numFmtId="37" fontId="9" fillId="0" borderId="2" xfId="21" applyFont="1" applyFill="1" applyBorder="1" applyAlignment="1" applyProtection="1">
      <alignment horizontal="left" wrapText="1"/>
      <protection/>
    </xf>
    <xf numFmtId="37" fontId="9" fillId="0" borderId="2" xfId="21" applyFont="1" applyFill="1" applyBorder="1" applyAlignment="1">
      <alignment horizontal="center" wrapText="1"/>
      <protection/>
    </xf>
    <xf numFmtId="0" fontId="6" fillId="0" borderId="0" xfId="0" applyFont="1" applyFill="1" applyAlignment="1">
      <alignment/>
    </xf>
    <xf numFmtId="0" fontId="9" fillId="0" borderId="0" xfId="0" applyFont="1" applyFill="1" applyAlignment="1">
      <alignment/>
    </xf>
    <xf numFmtId="37" fontId="9" fillId="0" borderId="2" xfId="15" applyNumberFormat="1" applyFont="1" applyBorder="1" applyAlignment="1">
      <alignment/>
    </xf>
    <xf numFmtId="0" fontId="14" fillId="0" borderId="0" xfId="0" applyFont="1" applyAlignment="1">
      <alignment horizontal="left" wrapText="1"/>
    </xf>
    <xf numFmtId="0" fontId="0" fillId="0" borderId="0" xfId="0" applyAlignment="1">
      <alignment wrapText="1"/>
    </xf>
    <xf numFmtId="37" fontId="6" fillId="0" borderId="0" xfId="0" applyNumberFormat="1" applyFont="1" applyAlignment="1">
      <alignment/>
    </xf>
    <xf numFmtId="37" fontId="9" fillId="0" borderId="0" xfId="0" applyNumberFormat="1" applyFont="1" applyAlignment="1">
      <alignment/>
    </xf>
    <xf numFmtId="37" fontId="13" fillId="0" borderId="0" xfId="0" applyNumberFormat="1" applyFont="1" applyAlignment="1">
      <alignment/>
    </xf>
    <xf numFmtId="37" fontId="8" fillId="0" borderId="0" xfId="21" applyFont="1" applyBorder="1" applyAlignment="1">
      <alignment horizontal="left" wrapText="1"/>
      <protection/>
    </xf>
    <xf numFmtId="37" fontId="6" fillId="0" borderId="0" xfId="21" applyFont="1" applyBorder="1" applyAlignment="1">
      <alignment horizontal="centerContinuous" wrapText="1"/>
      <protection/>
    </xf>
    <xf numFmtId="37" fontId="9" fillId="2" borderId="2" xfId="21" applyFont="1" applyFill="1" applyBorder="1" applyAlignment="1" applyProtection="1">
      <alignment horizontal="left" wrapText="1"/>
      <protection/>
    </xf>
    <xf numFmtId="37" fontId="9" fillId="2" borderId="8" xfId="21" applyFont="1" applyFill="1" applyBorder="1" applyAlignment="1">
      <alignment horizontal="center" wrapText="1"/>
      <protection/>
    </xf>
    <xf numFmtId="0" fontId="6" fillId="2" borderId="0" xfId="0" applyFont="1" applyFill="1" applyAlignment="1">
      <alignment/>
    </xf>
    <xf numFmtId="37" fontId="6" fillId="0" borderId="9" xfId="15" applyNumberFormat="1" applyFont="1" applyBorder="1" applyAlignment="1">
      <alignment/>
    </xf>
    <xf numFmtId="0" fontId="0" fillId="0" borderId="0" xfId="0" applyFill="1" applyAlignment="1">
      <alignment wrapText="1"/>
    </xf>
    <xf numFmtId="37" fontId="9" fillId="0" borderId="7" xfId="15" applyNumberFormat="1" applyFont="1" applyFill="1" applyBorder="1" applyAlignment="1">
      <alignment/>
    </xf>
    <xf numFmtId="37" fontId="6" fillId="0" borderId="9" xfId="15" applyNumberFormat="1" applyFont="1" applyFill="1" applyBorder="1" applyAlignment="1">
      <alignment/>
    </xf>
    <xf numFmtId="37" fontId="6" fillId="0" borderId="4" xfId="21" applyFont="1" applyBorder="1" applyAlignment="1">
      <alignment horizontal="left"/>
      <protection/>
    </xf>
    <xf numFmtId="37" fontId="9" fillId="0" borderId="2" xfId="21" applyFont="1" applyFill="1" applyBorder="1" applyAlignment="1">
      <alignment horizontal="left"/>
      <protection/>
    </xf>
    <xf numFmtId="37" fontId="9" fillId="0" borderId="2" xfId="15" applyNumberFormat="1" applyFont="1" applyFill="1" applyBorder="1" applyAlignment="1">
      <alignment/>
    </xf>
    <xf numFmtId="38" fontId="9" fillId="0" borderId="2" xfId="15" applyNumberFormat="1" applyFont="1" applyFill="1" applyBorder="1" applyAlignment="1">
      <alignment/>
    </xf>
    <xf numFmtId="37" fontId="6" fillId="0" borderId="4" xfId="15" applyNumberFormat="1" applyFont="1" applyBorder="1" applyAlignment="1">
      <alignment/>
    </xf>
    <xf numFmtId="37" fontId="6" fillId="0" borderId="10" xfId="15" applyNumberFormat="1" applyFont="1" applyFill="1" applyBorder="1" applyAlignment="1">
      <alignment/>
    </xf>
    <xf numFmtId="37" fontId="9" fillId="0" borderId="11" xfId="15" applyNumberFormat="1" applyFont="1" applyBorder="1" applyAlignment="1">
      <alignment/>
    </xf>
    <xf numFmtId="37" fontId="9" fillId="0" borderId="2" xfId="15" applyNumberFormat="1" applyFont="1" applyBorder="1" applyAlignment="1">
      <alignment horizontal="right"/>
    </xf>
    <xf numFmtId="37" fontId="13" fillId="0" borderId="0" xfId="21" applyFont="1" applyBorder="1">
      <alignment/>
      <protection/>
    </xf>
    <xf numFmtId="0" fontId="0" fillId="0" borderId="0" xfId="0" applyFont="1" applyAlignment="1">
      <alignment wrapText="1"/>
    </xf>
    <xf numFmtId="0" fontId="0" fillId="0" borderId="0" xfId="0" applyBorder="1" applyAlignment="1">
      <alignment horizontal="center"/>
    </xf>
    <xf numFmtId="0" fontId="6" fillId="3" borderId="0" xfId="0" applyFont="1" applyFill="1" applyAlignment="1">
      <alignment/>
    </xf>
    <xf numFmtId="0" fontId="6" fillId="4" borderId="0" xfId="0" applyFont="1" applyFill="1" applyAlignment="1">
      <alignment/>
    </xf>
    <xf numFmtId="39" fontId="6" fillId="0" borderId="0" xfId="0" applyNumberFormat="1" applyFont="1" applyBorder="1" applyAlignment="1">
      <alignment/>
    </xf>
    <xf numFmtId="0" fontId="6" fillId="5" borderId="0" xfId="0" applyFont="1" applyFill="1" applyAlignment="1">
      <alignment/>
    </xf>
    <xf numFmtId="37" fontId="6" fillId="5" borderId="4" xfId="15" applyNumberFormat="1" applyFont="1" applyFill="1" applyBorder="1" applyAlignment="1">
      <alignment/>
    </xf>
    <xf numFmtId="37" fontId="9" fillId="5" borderId="7" xfId="15" applyNumberFormat="1" applyFont="1" applyFill="1" applyBorder="1" applyAlignment="1">
      <alignment/>
    </xf>
    <xf numFmtId="167" fontId="6" fillId="0" borderId="4" xfId="15" applyNumberFormat="1" applyFont="1" applyFill="1" applyBorder="1" applyAlignment="1">
      <alignment/>
    </xf>
    <xf numFmtId="0" fontId="6" fillId="0" borderId="0" xfId="0" applyFont="1" applyFill="1" applyBorder="1" applyAlignment="1">
      <alignment/>
    </xf>
    <xf numFmtId="0" fontId="13" fillId="0" borderId="0" xfId="0" applyFont="1" applyFill="1" applyAlignment="1">
      <alignment/>
    </xf>
    <xf numFmtId="0" fontId="13" fillId="0" borderId="0" xfId="0" applyFont="1" applyFill="1" applyAlignment="1">
      <alignment wrapText="1"/>
    </xf>
    <xf numFmtId="0" fontId="13" fillId="0" borderId="0" xfId="0" applyFont="1" applyAlignment="1">
      <alignment/>
    </xf>
    <xf numFmtId="37" fontId="8" fillId="0" borderId="0" xfId="21" applyFont="1" applyBorder="1" applyAlignment="1">
      <alignment horizontal="center" wrapText="1"/>
      <protection/>
    </xf>
    <xf numFmtId="0" fontId="0" fillId="0" borderId="0" xfId="0" applyAlignment="1">
      <alignment wrapText="1"/>
    </xf>
    <xf numFmtId="0" fontId="9" fillId="0" borderId="0" xfId="0" applyFont="1" applyBorder="1" applyAlignment="1">
      <alignment horizontal="center" wrapText="1"/>
    </xf>
    <xf numFmtId="0" fontId="9" fillId="0" borderId="0" xfId="0" applyFont="1" applyAlignment="1">
      <alignment horizontal="center" wrapText="1"/>
    </xf>
    <xf numFmtId="0" fontId="14" fillId="0" borderId="0" xfId="0" applyFont="1" applyAlignment="1">
      <alignment horizontal="left" wrapText="1"/>
    </xf>
    <xf numFmtId="0" fontId="14" fillId="0" borderId="0" xfId="0" applyFont="1" applyFill="1" applyAlignment="1">
      <alignment horizontal="left" wrapText="1"/>
    </xf>
    <xf numFmtId="37" fontId="14" fillId="0" borderId="0" xfId="21" applyFont="1" applyAlignment="1">
      <alignment horizontal="left" wrapText="1"/>
      <protection/>
    </xf>
    <xf numFmtId="0" fontId="0" fillId="0" borderId="0" xfId="0" applyFont="1" applyFill="1" applyAlignment="1">
      <alignment wrapText="1"/>
    </xf>
    <xf numFmtId="0" fontId="14" fillId="0" borderId="0" xfId="0" applyFont="1" applyAlignment="1">
      <alignment wrapText="1"/>
    </xf>
    <xf numFmtId="0" fontId="0" fillId="0" borderId="0" xfId="0" applyAlignment="1">
      <alignment/>
    </xf>
    <xf numFmtId="0" fontId="0" fillId="0" borderId="0" xfId="0" applyFill="1" applyAlignment="1">
      <alignment wrapText="1"/>
    </xf>
    <xf numFmtId="37" fontId="8" fillId="0" borderId="0" xfId="21" applyFont="1" applyBorder="1" applyAlignment="1">
      <alignment horizontal="center"/>
      <protection/>
    </xf>
    <xf numFmtId="0" fontId="1" fillId="0" borderId="0" xfId="0" applyFont="1" applyAlignment="1">
      <alignment/>
    </xf>
    <xf numFmtId="0" fontId="18" fillId="0" borderId="0" xfId="0" applyFont="1" applyAlignment="1">
      <alignment/>
    </xf>
    <xf numFmtId="0" fontId="8" fillId="0" borderId="0" xfId="0" applyFont="1" applyBorder="1" applyAlignment="1">
      <alignment horizontal="center"/>
    </xf>
    <xf numFmtId="0" fontId="19" fillId="0" borderId="0" xfId="0" applyFon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AIRPLAN.XL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P58"/>
  <sheetViews>
    <sheetView workbookViewId="0" topLeftCell="A1">
      <selection activeCell="F37" sqref="F37"/>
    </sheetView>
  </sheetViews>
  <sheetFormatPr defaultColWidth="9.140625" defaultRowHeight="12.75"/>
  <cols>
    <col min="1" max="1" width="61.7109375" style="33" bestFit="1" customWidth="1"/>
    <col min="2" max="2" width="12.7109375" style="63" bestFit="1" customWidth="1"/>
    <col min="3" max="4" width="12.7109375" style="0" bestFit="1" customWidth="1"/>
    <col min="5" max="5" width="12.8515625" style="0" bestFit="1" customWidth="1"/>
    <col min="6" max="6" width="25.7109375" style="0" customWidth="1"/>
    <col min="7" max="7" width="13.8515625" style="0" bestFit="1" customWidth="1"/>
    <col min="8" max="16384" width="8.8515625" style="0" customWidth="1"/>
  </cols>
  <sheetData>
    <row r="1" spans="1:12" ht="18.75">
      <c r="A1" s="75" t="s">
        <v>104</v>
      </c>
      <c r="B1" s="76"/>
      <c r="C1" s="76"/>
      <c r="D1" s="76"/>
      <c r="E1" s="76"/>
      <c r="F1" s="44"/>
      <c r="G1" s="44"/>
      <c r="H1" s="44"/>
      <c r="I1" s="44"/>
      <c r="J1" s="44"/>
      <c r="K1" s="44"/>
      <c r="L1" s="44"/>
    </row>
    <row r="2" spans="1:12" ht="18.75">
      <c r="A2" s="75" t="s">
        <v>32</v>
      </c>
      <c r="B2" s="75"/>
      <c r="C2" s="75"/>
      <c r="D2" s="75"/>
      <c r="E2" s="75"/>
      <c r="F2" s="44"/>
      <c r="G2" s="44"/>
      <c r="H2" s="44"/>
      <c r="I2" s="44"/>
      <c r="J2" s="44"/>
      <c r="K2" s="44"/>
      <c r="L2" s="44"/>
    </row>
    <row r="3" spans="1:5" s="1" customFormat="1" ht="19.5" customHeight="1">
      <c r="A3" s="77" t="s">
        <v>33</v>
      </c>
      <c r="B3" s="78"/>
      <c r="C3" s="78"/>
      <c r="D3" s="78"/>
      <c r="E3" s="78"/>
    </row>
    <row r="4" spans="1:2" ht="9" customHeight="1">
      <c r="A4" s="2"/>
      <c r="B4" s="45"/>
    </row>
    <row r="5" spans="1:5" s="48" customFormat="1" ht="34.5">
      <c r="A5" s="46" t="s">
        <v>65</v>
      </c>
      <c r="B5" s="47" t="s">
        <v>39</v>
      </c>
      <c r="C5" s="47" t="s">
        <v>34</v>
      </c>
      <c r="D5" s="47" t="s">
        <v>35</v>
      </c>
      <c r="E5" s="47" t="s">
        <v>36</v>
      </c>
    </row>
    <row r="6" spans="1:6" s="5" customFormat="1" ht="15.75">
      <c r="A6" s="3" t="s">
        <v>37</v>
      </c>
      <c r="B6" s="19">
        <v>2730741.99</v>
      </c>
      <c r="C6" s="19">
        <v>2536874.5604000017</v>
      </c>
      <c r="D6" s="19">
        <f>B35</f>
        <v>3695963.6100000013</v>
      </c>
      <c r="E6" s="19">
        <f>B35</f>
        <v>3695963.6100000013</v>
      </c>
      <c r="F6" s="64" t="s">
        <v>5</v>
      </c>
    </row>
    <row r="7" spans="1:6" s="8" customFormat="1" ht="15.75">
      <c r="A7" s="6" t="s">
        <v>72</v>
      </c>
      <c r="B7" s="49"/>
      <c r="C7" s="49"/>
      <c r="D7" s="49"/>
      <c r="E7" s="49"/>
      <c r="F7" s="64" t="s">
        <v>6</v>
      </c>
    </row>
    <row r="8" spans="1:6" s="8" customFormat="1" ht="18.75">
      <c r="A8" s="9" t="s">
        <v>40</v>
      </c>
      <c r="B8" s="12">
        <v>11972348.870000001</v>
      </c>
      <c r="C8" s="12">
        <v>12414469</v>
      </c>
      <c r="D8" s="12">
        <v>12414469</v>
      </c>
      <c r="E8" s="12">
        <v>12414469</v>
      </c>
      <c r="F8" s="64" t="s">
        <v>7</v>
      </c>
    </row>
    <row r="9" spans="1:5" s="8" customFormat="1" ht="18.75">
      <c r="A9" s="9" t="s">
        <v>41</v>
      </c>
      <c r="B9" s="12">
        <v>184666.07</v>
      </c>
      <c r="C9" s="12">
        <v>201991</v>
      </c>
      <c r="D9" s="12">
        <v>201991</v>
      </c>
      <c r="E9" s="12">
        <v>201991</v>
      </c>
    </row>
    <row r="10" spans="1:5" s="8" customFormat="1" ht="18.75">
      <c r="A10" s="9" t="s">
        <v>42</v>
      </c>
      <c r="B10" s="10">
        <v>142047.19</v>
      </c>
      <c r="C10" s="11">
        <v>62153</v>
      </c>
      <c r="D10" s="11">
        <v>62153</v>
      </c>
      <c r="E10" s="11">
        <v>62153</v>
      </c>
    </row>
    <row r="11" spans="1:5" s="8" customFormat="1" ht="18.75">
      <c r="A11" s="9" t="s">
        <v>43</v>
      </c>
      <c r="B11" s="12">
        <v>4826883.860882926</v>
      </c>
      <c r="C11" s="12">
        <v>4340154</v>
      </c>
      <c r="D11" s="12">
        <v>4340154</v>
      </c>
      <c r="E11" s="12">
        <v>4340154</v>
      </c>
    </row>
    <row r="12" spans="1:5" s="8" customFormat="1" ht="18.75">
      <c r="A12" s="9" t="s">
        <v>44</v>
      </c>
      <c r="B12" s="12">
        <v>682768.7191170745</v>
      </c>
      <c r="C12" s="12">
        <v>618030</v>
      </c>
      <c r="D12" s="12">
        <v>618030</v>
      </c>
      <c r="E12" s="12">
        <v>618030</v>
      </c>
    </row>
    <row r="13" spans="1:5" s="8" customFormat="1" ht="18.75">
      <c r="A13" s="13" t="s">
        <v>89</v>
      </c>
      <c r="B13" s="12">
        <v>2875302</v>
      </c>
      <c r="C13" s="12">
        <v>2995663.261</v>
      </c>
      <c r="D13" s="12">
        <v>2995663.261</v>
      </c>
      <c r="E13" s="12">
        <v>2995663.261</v>
      </c>
    </row>
    <row r="14" spans="1:5" s="8" customFormat="1" ht="18.75">
      <c r="A14" s="13" t="s">
        <v>90</v>
      </c>
      <c r="B14" s="12">
        <v>1335465</v>
      </c>
      <c r="C14" s="12">
        <v>1465498.2223335986</v>
      </c>
      <c r="D14" s="12">
        <v>1465498.2223335986</v>
      </c>
      <c r="E14" s="12">
        <v>1465498.2223335986</v>
      </c>
    </row>
    <row r="15" spans="1:5" s="8" customFormat="1" ht="18.75">
      <c r="A15" s="13" t="s">
        <v>45</v>
      </c>
      <c r="B15" s="12">
        <v>100747.03</v>
      </c>
      <c r="C15" s="12"/>
      <c r="D15" s="12"/>
      <c r="E15" s="12"/>
    </row>
    <row r="16" spans="1:5" s="8" customFormat="1" ht="18.75">
      <c r="A16" s="9" t="s">
        <v>46</v>
      </c>
      <c r="B16" s="12"/>
      <c r="C16" s="12"/>
      <c r="D16" s="12"/>
      <c r="E16" s="12">
        <v>5623</v>
      </c>
    </row>
    <row r="17" spans="1:7" s="5" customFormat="1" ht="15.75">
      <c r="A17" s="14" t="s">
        <v>73</v>
      </c>
      <c r="B17" s="51">
        <f>SUM(B8:B16)</f>
        <v>22120228.740000002</v>
      </c>
      <c r="C17" s="51">
        <f>SUM(C8:C16)</f>
        <v>22097958.4833336</v>
      </c>
      <c r="D17" s="51">
        <f>SUM(D8:D16)</f>
        <v>22097958.4833336</v>
      </c>
      <c r="E17" s="51">
        <f>SUM(E8:E16)</f>
        <v>22103581.4833336</v>
      </c>
      <c r="G17" s="42"/>
    </row>
    <row r="18" spans="1:5" s="8" customFormat="1" ht="15.75">
      <c r="A18" s="16" t="s">
        <v>74</v>
      </c>
      <c r="B18" s="52"/>
      <c r="C18" s="52"/>
      <c r="D18" s="52"/>
      <c r="E18" s="52"/>
    </row>
    <row r="19" spans="1:6" s="36" customFormat="1" ht="18.75">
      <c r="A19" s="17" t="s">
        <v>47</v>
      </c>
      <c r="B19" s="68">
        <v>-11080073.259999998</v>
      </c>
      <c r="C19" s="12">
        <v>-13204335.55</v>
      </c>
      <c r="D19" s="12">
        <v>-13204335.55</v>
      </c>
      <c r="E19" s="12">
        <v>-13204335.55</v>
      </c>
      <c r="F19" s="67" t="s">
        <v>10</v>
      </c>
    </row>
    <row r="20" spans="1:6" s="36" customFormat="1" ht="18.75">
      <c r="A20" s="17" t="s">
        <v>48</v>
      </c>
      <c r="B20" s="68">
        <v>-4826883.860882926</v>
      </c>
      <c r="C20" s="12">
        <v>-4340154</v>
      </c>
      <c r="D20" s="12">
        <v>-4340154</v>
      </c>
      <c r="E20" s="12">
        <v>-4340154</v>
      </c>
      <c r="F20" s="67" t="s">
        <v>8</v>
      </c>
    </row>
    <row r="21" spans="1:6" s="36" customFormat="1" ht="18.75">
      <c r="A21" s="17" t="s">
        <v>93</v>
      </c>
      <c r="B21" s="68">
        <v>-682768.7191170745</v>
      </c>
      <c r="C21" s="12">
        <v>-618030</v>
      </c>
      <c r="D21" s="12">
        <v>-618030</v>
      </c>
      <c r="E21" s="12">
        <v>-618030</v>
      </c>
      <c r="F21" s="67" t="s">
        <v>9</v>
      </c>
    </row>
    <row r="22" spans="1:6" s="36" customFormat="1" ht="18.75">
      <c r="A22" s="17" t="s">
        <v>94</v>
      </c>
      <c r="B22" s="68">
        <v>-2925009</v>
      </c>
      <c r="C22" s="12">
        <v>-3056799.45</v>
      </c>
      <c r="D22" s="12">
        <v>-3056799.45</v>
      </c>
      <c r="E22" s="12">
        <v>-3056799.45</v>
      </c>
      <c r="F22" s="67" t="s">
        <v>14</v>
      </c>
    </row>
    <row r="23" spans="1:6" s="36" customFormat="1" ht="18.75">
      <c r="A23" s="17" t="s">
        <v>49</v>
      </c>
      <c r="B23" s="68">
        <v>-1335465</v>
      </c>
      <c r="C23" s="12">
        <v>-1465498.2223335986</v>
      </c>
      <c r="D23" s="12">
        <v>-1465498.2223335986</v>
      </c>
      <c r="E23" s="12">
        <v>-1465498.2223335986</v>
      </c>
      <c r="F23" s="67" t="s">
        <v>16</v>
      </c>
    </row>
    <row r="24" spans="1:6" s="36" customFormat="1" ht="18.75">
      <c r="A24" s="17" t="s">
        <v>50</v>
      </c>
      <c r="B24" s="68">
        <v>-306207</v>
      </c>
      <c r="C24" s="12">
        <v>-399492</v>
      </c>
      <c r="D24" s="12">
        <v>-399492</v>
      </c>
      <c r="E24" s="12">
        <v>-399492</v>
      </c>
      <c r="F24" s="67" t="s">
        <v>15</v>
      </c>
    </row>
    <row r="25" spans="1:5" s="36" customFormat="1" ht="18.75">
      <c r="A25" s="17" t="s">
        <v>51</v>
      </c>
      <c r="B25" s="68">
        <v>-25761.16</v>
      </c>
      <c r="C25" s="12"/>
      <c r="D25" s="12"/>
      <c r="E25" s="12"/>
    </row>
    <row r="26" spans="1:6" s="8" customFormat="1" ht="18.75">
      <c r="A26" s="17" t="s">
        <v>52</v>
      </c>
      <c r="B26" s="12"/>
      <c r="C26" s="12"/>
      <c r="D26" s="12">
        <f>B37</f>
        <v>-114567</v>
      </c>
      <c r="E26" s="12">
        <f>D26</f>
        <v>-114567</v>
      </c>
      <c r="F26" s="8" t="s">
        <v>30</v>
      </c>
    </row>
    <row r="27" spans="1:6" s="8" customFormat="1" ht="18.75">
      <c r="A27" s="17" t="s">
        <v>53</v>
      </c>
      <c r="B27" s="12"/>
      <c r="C27" s="12"/>
      <c r="D27" s="12"/>
      <c r="E27" s="12">
        <f>B38</f>
        <v>-213793</v>
      </c>
      <c r="F27" s="8" t="s">
        <v>30</v>
      </c>
    </row>
    <row r="28" spans="1:5" s="8" customFormat="1" ht="18.75">
      <c r="A28" s="53" t="s">
        <v>54</v>
      </c>
      <c r="B28" s="12"/>
      <c r="C28" s="12"/>
      <c r="D28" s="12"/>
      <c r="E28" s="12">
        <v>-5623</v>
      </c>
    </row>
    <row r="29" spans="1:6" s="8" customFormat="1" ht="15.75">
      <c r="A29" s="53" t="s">
        <v>29</v>
      </c>
      <c r="B29" s="12"/>
      <c r="C29" s="12"/>
      <c r="D29" s="12"/>
      <c r="E29" s="12">
        <v>-250000</v>
      </c>
      <c r="F29" s="8" t="s">
        <v>30</v>
      </c>
    </row>
    <row r="30" spans="1:7" s="5" customFormat="1" ht="15.75">
      <c r="A30" s="18" t="s">
        <v>75</v>
      </c>
      <c r="B30" s="69">
        <v>-21155007.12</v>
      </c>
      <c r="C30" s="19">
        <f>SUM(C19:C28)</f>
        <v>-23084309.2223336</v>
      </c>
      <c r="D30" s="19">
        <f>SUM(D19:D28)</f>
        <v>-23198876.2223336</v>
      </c>
      <c r="E30" s="19">
        <f>SUM(E19:E29)</f>
        <v>-23668292.2223336</v>
      </c>
      <c r="G30" s="42"/>
    </row>
    <row r="31" spans="1:7" s="8" customFormat="1" ht="18.75">
      <c r="A31" s="54" t="s">
        <v>55</v>
      </c>
      <c r="B31" s="55"/>
      <c r="C31" s="56">
        <f>-C30*0.02</f>
        <v>461686.184446672</v>
      </c>
      <c r="D31" s="56">
        <f>-D30*0.02</f>
        <v>463977.524446672</v>
      </c>
      <c r="E31" s="56">
        <f>-E30*0.02</f>
        <v>473365.844446672</v>
      </c>
      <c r="G31" s="41"/>
    </row>
    <row r="32" spans="1:7" s="8" customFormat="1" ht="15.75">
      <c r="A32" s="20" t="s">
        <v>76</v>
      </c>
      <c r="B32" s="57"/>
      <c r="C32" s="57"/>
      <c r="D32" s="57"/>
      <c r="E32" s="57"/>
      <c r="G32" s="41"/>
    </row>
    <row r="33" spans="1:7" s="8" customFormat="1" ht="15.75">
      <c r="A33" s="17" t="s">
        <v>38</v>
      </c>
      <c r="B33" s="12"/>
      <c r="C33" s="12"/>
      <c r="D33" s="12"/>
      <c r="E33" s="12"/>
      <c r="G33" s="41"/>
    </row>
    <row r="34" spans="1:5" s="8" customFormat="1" ht="15.75">
      <c r="A34" s="16" t="s">
        <v>77</v>
      </c>
      <c r="B34" s="51">
        <v>0</v>
      </c>
      <c r="C34" s="51">
        <f>SUM(C32:C33)</f>
        <v>0</v>
      </c>
      <c r="D34" s="51">
        <f>SUM(D32:D33)</f>
        <v>0</v>
      </c>
      <c r="E34" s="51">
        <f>SUM(E32:E33)</f>
        <v>0</v>
      </c>
    </row>
    <row r="35" spans="1:94" s="25" customFormat="1" ht="15.75">
      <c r="A35" s="3" t="s">
        <v>78</v>
      </c>
      <c r="B35" s="23">
        <f>B34+B31+B30+B17+B6</f>
        <v>3695963.6100000013</v>
      </c>
      <c r="C35" s="23">
        <f>C6+C17+C30+C34+C31-1</f>
        <v>2012209.0058466736</v>
      </c>
      <c r="D35" s="23">
        <f>D6+D17+D30+D34+D31-1</f>
        <v>3059022.395446675</v>
      </c>
      <c r="E35" s="23">
        <f>E6+E17+E30+E34+E31</f>
        <v>2604618.715446675</v>
      </c>
      <c r="F35" s="66">
        <v>2604618.715446675</v>
      </c>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row>
    <row r="36" spans="1:5" s="8" customFormat="1" ht="15.75">
      <c r="A36" s="20" t="s">
        <v>79</v>
      </c>
      <c r="B36" s="57"/>
      <c r="C36" s="57"/>
      <c r="D36" s="57"/>
      <c r="E36" s="57"/>
    </row>
    <row r="37" spans="1:7" s="8" customFormat="1" ht="18.75">
      <c r="A37" s="17" t="s">
        <v>52</v>
      </c>
      <c r="B37" s="58">
        <v>-114567</v>
      </c>
      <c r="C37" s="58"/>
      <c r="D37" s="58"/>
      <c r="E37" s="58"/>
      <c r="F37" s="65" t="s">
        <v>13</v>
      </c>
      <c r="G37" s="41"/>
    </row>
    <row r="38" spans="1:6" s="8" customFormat="1" ht="18.75">
      <c r="A38" s="17" t="s">
        <v>53</v>
      </c>
      <c r="B38" s="58">
        <v>-213793</v>
      </c>
      <c r="C38" s="58"/>
      <c r="D38" s="58"/>
      <c r="E38" s="58"/>
      <c r="F38" s="65" t="s">
        <v>11</v>
      </c>
    </row>
    <row r="39" spans="1:6" s="5" customFormat="1" ht="15.75">
      <c r="A39" s="20" t="s">
        <v>81</v>
      </c>
      <c r="B39" s="59">
        <f>SUM(B37:B38)</f>
        <v>-328360</v>
      </c>
      <c r="C39" s="59">
        <f>SUM(C37:C38)</f>
        <v>0</v>
      </c>
      <c r="D39" s="59">
        <f>SUM(D37:D38)</f>
        <v>0</v>
      </c>
      <c r="E39" s="59">
        <f>SUM(E37:E38)</f>
        <v>0</v>
      </c>
      <c r="F39" s="65" t="s">
        <v>17</v>
      </c>
    </row>
    <row r="40" spans="1:7" s="5" customFormat="1" ht="15.75">
      <c r="A40" s="3" t="s">
        <v>82</v>
      </c>
      <c r="B40" s="23">
        <f>B39+B35</f>
        <v>3367603.6100000013</v>
      </c>
      <c r="C40" s="23">
        <f>C39+C35</f>
        <v>2012209.0058466736</v>
      </c>
      <c r="D40" s="23">
        <f>D39+D35</f>
        <v>3059022.395446675</v>
      </c>
      <c r="E40" s="23">
        <f>E39+E35</f>
        <v>2604618.715446675</v>
      </c>
      <c r="F40" s="65" t="s">
        <v>12</v>
      </c>
      <c r="G40" s="42"/>
    </row>
    <row r="41" spans="1:7" s="8" customFormat="1" ht="18.75">
      <c r="A41" s="27" t="s">
        <v>56</v>
      </c>
      <c r="B41" s="60">
        <f>-1/12*(B30-B25)</f>
        <v>1760770.4966666666</v>
      </c>
      <c r="C41" s="60">
        <f>-1/12*(C30-C25)</f>
        <v>1923692.4351944665</v>
      </c>
      <c r="D41" s="60">
        <f>-1/12*(D30-D25)</f>
        <v>1933239.6851944665</v>
      </c>
      <c r="E41" s="60">
        <f>-1/12*(E30-E25)</f>
        <v>1972357.6851944665</v>
      </c>
      <c r="F41" s="65" t="s">
        <v>7</v>
      </c>
      <c r="G41" s="41"/>
    </row>
    <row r="42" spans="1:7" s="31" customFormat="1" ht="12.75">
      <c r="A42" s="30" t="s">
        <v>83</v>
      </c>
      <c r="B42" s="61"/>
      <c r="G42" s="43"/>
    </row>
    <row r="43" spans="1:5" s="31" customFormat="1" ht="15" customHeight="1">
      <c r="A43" s="79" t="s">
        <v>57</v>
      </c>
      <c r="B43" s="76"/>
      <c r="C43" s="76"/>
      <c r="D43" s="76"/>
      <c r="E43" s="76"/>
    </row>
    <row r="44" spans="1:5" s="31" customFormat="1" ht="15" customHeight="1">
      <c r="A44" s="39" t="s">
        <v>4</v>
      </c>
      <c r="B44" s="40"/>
      <c r="C44" s="40"/>
      <c r="D44" s="40"/>
      <c r="E44" s="40"/>
    </row>
    <row r="45" spans="1:5" s="31" customFormat="1" ht="15" customHeight="1">
      <c r="A45" s="80" t="s">
        <v>58</v>
      </c>
      <c r="B45" s="76"/>
      <c r="C45" s="76"/>
      <c r="D45" s="76"/>
      <c r="E45" s="76"/>
    </row>
    <row r="46" spans="1:5" s="8" customFormat="1" ht="15.75">
      <c r="A46" s="80" t="s">
        <v>59</v>
      </c>
      <c r="B46" s="82"/>
      <c r="C46" s="76"/>
      <c r="D46" s="76"/>
      <c r="E46" s="76"/>
    </row>
    <row r="47" spans="1:5" s="8" customFormat="1" ht="15.75">
      <c r="A47" s="81" t="s">
        <v>60</v>
      </c>
      <c r="B47" s="76"/>
      <c r="C47" s="76"/>
      <c r="D47" s="76"/>
      <c r="E47" s="76"/>
    </row>
    <row r="48" spans="1:5" s="8" customFormat="1" ht="14.25" customHeight="1">
      <c r="A48" s="81" t="s">
        <v>61</v>
      </c>
      <c r="B48" s="76"/>
      <c r="C48" s="76"/>
      <c r="D48" s="76"/>
      <c r="E48" s="76"/>
    </row>
    <row r="49" spans="1:5" s="8" customFormat="1" ht="42" customHeight="1">
      <c r="A49" s="79" t="s">
        <v>24</v>
      </c>
      <c r="B49" s="76"/>
      <c r="C49" s="76"/>
      <c r="D49" s="76"/>
      <c r="E49" s="76"/>
    </row>
    <row r="50" spans="1:5" s="8" customFormat="1" ht="40.5" customHeight="1">
      <c r="A50" s="80" t="s">
        <v>25</v>
      </c>
      <c r="B50" s="76"/>
      <c r="C50" s="76"/>
      <c r="D50" s="76"/>
      <c r="E50" s="76"/>
    </row>
    <row r="51" spans="1:5" s="8" customFormat="1" ht="39.75" customHeight="1">
      <c r="A51" s="81" t="s">
        <v>26</v>
      </c>
      <c r="B51" s="76"/>
      <c r="C51" s="76"/>
      <c r="D51" s="76"/>
      <c r="E51" s="76"/>
    </row>
    <row r="52" spans="1:5" ht="27.75" customHeight="1">
      <c r="A52" s="80" t="s">
        <v>27</v>
      </c>
      <c r="B52" s="76"/>
      <c r="C52" s="76"/>
      <c r="D52" s="76"/>
      <c r="E52" s="76"/>
    </row>
    <row r="53" spans="1:5" ht="51.75" customHeight="1">
      <c r="A53" s="80" t="s">
        <v>3</v>
      </c>
      <c r="B53" s="76"/>
      <c r="C53" s="76"/>
      <c r="D53" s="76"/>
      <c r="E53" s="76"/>
    </row>
    <row r="54" spans="1:5" ht="27.75" customHeight="1">
      <c r="A54" s="79" t="s">
        <v>62</v>
      </c>
      <c r="B54" s="76"/>
      <c r="C54" s="76"/>
      <c r="D54" s="76"/>
      <c r="E54" s="76"/>
    </row>
    <row r="55" spans="1:5" ht="26.25" customHeight="1">
      <c r="A55" s="80" t="s">
        <v>63</v>
      </c>
      <c r="B55" s="76"/>
      <c r="C55" s="76"/>
      <c r="D55" s="76"/>
      <c r="E55" s="76"/>
    </row>
    <row r="56" spans="1:5" ht="15" customHeight="1">
      <c r="A56" s="79" t="s">
        <v>64</v>
      </c>
      <c r="B56" s="76"/>
      <c r="C56" s="76"/>
      <c r="D56" s="76"/>
      <c r="E56" s="76"/>
    </row>
    <row r="57" spans="1:5" ht="38.25" customHeight="1">
      <c r="A57" s="79" t="s">
        <v>28</v>
      </c>
      <c r="B57" s="76"/>
      <c r="C57" s="76"/>
      <c r="D57" s="76"/>
      <c r="E57" s="76"/>
    </row>
    <row r="58" ht="12.75" customHeight="1">
      <c r="B58" s="62"/>
    </row>
  </sheetData>
  <mergeCells count="17">
    <mergeCell ref="A54:E54"/>
    <mergeCell ref="A43:E43"/>
    <mergeCell ref="A45:E45"/>
    <mergeCell ref="A55:E55"/>
    <mergeCell ref="A48:E48"/>
    <mergeCell ref="A46:E46"/>
    <mergeCell ref="A47:E47"/>
    <mergeCell ref="A2:E2"/>
    <mergeCell ref="A1:E1"/>
    <mergeCell ref="A3:E3"/>
    <mergeCell ref="A57:E57"/>
    <mergeCell ref="A49:E49"/>
    <mergeCell ref="A50:E50"/>
    <mergeCell ref="A51:E51"/>
    <mergeCell ref="A56:E56"/>
    <mergeCell ref="A52:E52"/>
    <mergeCell ref="A53:E53"/>
  </mergeCells>
  <printOptions/>
  <pageMargins left="1" right="1" top="0.5" bottom="0.5" header="0.5" footer="0.5"/>
  <pageSetup fitToHeight="1" fitToWidth="1" horizontalDpi="600" verticalDpi="600" orientation="portrait" scale="63"/>
</worksheet>
</file>

<file path=xl/worksheets/sheet2.xml><?xml version="1.0" encoding="utf-8"?>
<worksheet xmlns="http://schemas.openxmlformats.org/spreadsheetml/2006/main" xmlns:r="http://schemas.openxmlformats.org/officeDocument/2006/relationships">
  <sheetPr>
    <pageSetUpPr fitToPage="1"/>
  </sheetPr>
  <dimension ref="A1:CA48"/>
  <sheetViews>
    <sheetView tabSelected="1" zoomScale="145" zoomScaleNormal="145" workbookViewId="0" topLeftCell="A1">
      <selection activeCell="A3" sqref="A3:G3"/>
    </sheetView>
  </sheetViews>
  <sheetFormatPr defaultColWidth="9.140625" defaultRowHeight="12.75"/>
  <cols>
    <col min="1" max="1" width="64.140625" style="33" customWidth="1"/>
    <col min="2" max="7" width="15.28125" style="0" bestFit="1" customWidth="1"/>
    <col min="8" max="16384" width="8.8515625" style="0" customWidth="1"/>
  </cols>
  <sheetData>
    <row r="1" spans="1:7" ht="18.75">
      <c r="A1" s="86" t="s">
        <v>18</v>
      </c>
      <c r="B1" s="84"/>
      <c r="C1" s="84"/>
      <c r="D1" s="84"/>
      <c r="E1" s="84"/>
      <c r="F1" s="84"/>
      <c r="G1" s="84"/>
    </row>
    <row r="2" spans="1:7" ht="22.5">
      <c r="A2" s="86" t="s">
        <v>1</v>
      </c>
      <c r="B2" s="86"/>
      <c r="C2" s="86"/>
      <c r="D2" s="86"/>
      <c r="E2" s="86"/>
      <c r="F2" s="86"/>
      <c r="G2" s="86"/>
    </row>
    <row r="3" spans="1:7" s="1" customFormat="1" ht="19.5" customHeight="1">
      <c r="A3" s="89" t="s">
        <v>33</v>
      </c>
      <c r="B3" s="90"/>
      <c r="C3" s="90"/>
      <c r="D3" s="90"/>
      <c r="E3" s="90"/>
      <c r="F3" s="90"/>
      <c r="G3" s="90"/>
    </row>
    <row r="4" spans="1:7" ht="17.25" customHeight="1">
      <c r="A4" s="2"/>
      <c r="B4" s="88" t="s">
        <v>105</v>
      </c>
      <c r="C4" s="87"/>
      <c r="D4" s="87"/>
      <c r="E4" s="87"/>
      <c r="F4" s="87"/>
      <c r="G4" s="87"/>
    </row>
    <row r="5" spans="1:7" s="36" customFormat="1" ht="31.5">
      <c r="A5" s="34" t="s">
        <v>65</v>
      </c>
      <c r="B5" s="35" t="s">
        <v>66</v>
      </c>
      <c r="C5" s="35" t="s">
        <v>67</v>
      </c>
      <c r="D5" s="35" t="s">
        <v>68</v>
      </c>
      <c r="E5" s="35" t="s">
        <v>69</v>
      </c>
      <c r="F5" s="35" t="s">
        <v>70</v>
      </c>
      <c r="G5" s="35" t="s">
        <v>71</v>
      </c>
    </row>
    <row r="6" spans="1:7" s="37" customFormat="1" ht="18.75">
      <c r="A6" s="3" t="s">
        <v>84</v>
      </c>
      <c r="B6" s="4">
        <v>2604618.72</v>
      </c>
      <c r="C6" s="4">
        <f>B27</f>
        <v>3062451.9977150005</v>
      </c>
      <c r="D6" s="4">
        <f>C27</f>
        <v>3362471.985249673</v>
      </c>
      <c r="E6" s="4">
        <f>D27</f>
        <v>3466780.59638922</v>
      </c>
      <c r="F6" s="4">
        <f>E27</f>
        <v>3424112.9642043477</v>
      </c>
      <c r="G6" s="4">
        <f>F27</f>
        <v>3211985.8026519464</v>
      </c>
    </row>
    <row r="7" spans="1:7" s="8" customFormat="1" ht="15.75">
      <c r="A7" s="6" t="s">
        <v>72</v>
      </c>
      <c r="B7" s="7"/>
      <c r="C7" s="7"/>
      <c r="D7" s="7"/>
      <c r="E7" s="7"/>
      <c r="F7" s="7"/>
      <c r="G7" s="7"/>
    </row>
    <row r="8" spans="1:7" s="36" customFormat="1" ht="18.75">
      <c r="A8" s="13" t="s">
        <v>85</v>
      </c>
      <c r="B8" s="10">
        <v>16054432.691715</v>
      </c>
      <c r="C8" s="70">
        <f>B8*(1.0282+0.0184)</f>
        <v>16802569.255148917</v>
      </c>
      <c r="D8" s="70">
        <f>C8*(1.03+0.018)</f>
        <v>17609092.579396065</v>
      </c>
      <c r="E8" s="70">
        <f>D8*(1.03+0.018)</f>
        <v>18454329.023207076</v>
      </c>
      <c r="F8" s="70">
        <f>E8*(1.03+0.018)</f>
        <v>19340136.816321015</v>
      </c>
      <c r="G8" s="70">
        <f>F8*(1.03+0.018)</f>
        <v>20268463.383504424</v>
      </c>
    </row>
    <row r="9" spans="1:7" s="36" customFormat="1" ht="18.75">
      <c r="A9" s="13" t="s">
        <v>86</v>
      </c>
      <c r="B9" s="11">
        <f aca="true" t="shared" si="0" ref="B9:G9">B6*0.05</f>
        <v>130230.93600000002</v>
      </c>
      <c r="C9" s="11">
        <f t="shared" si="0"/>
        <v>153122.59988575004</v>
      </c>
      <c r="D9" s="11">
        <f t="shared" si="0"/>
        <v>168123.59926248365</v>
      </c>
      <c r="E9" s="11">
        <f t="shared" si="0"/>
        <v>173339.02981946102</v>
      </c>
      <c r="F9" s="11">
        <f t="shared" si="0"/>
        <v>171205.6482102174</v>
      </c>
      <c r="G9" s="11">
        <f t="shared" si="0"/>
        <v>160599.29013259732</v>
      </c>
    </row>
    <row r="10" spans="1:7" s="8" customFormat="1" ht="18.75">
      <c r="A10" s="9" t="s">
        <v>87</v>
      </c>
      <c r="B10" s="10">
        <f>4340154*1.05</f>
        <v>4557161.7</v>
      </c>
      <c r="C10" s="10">
        <f>B10*1.05</f>
        <v>4785019.785</v>
      </c>
      <c r="D10" s="10">
        <f>C10*1.05</f>
        <v>5024270.774250001</v>
      </c>
      <c r="E10" s="10">
        <f>D10*1.05</f>
        <v>5275484.312962501</v>
      </c>
      <c r="F10" s="10">
        <f>E10*1.05</f>
        <v>5539258.528610626</v>
      </c>
      <c r="G10" s="10">
        <f>F10*1.05</f>
        <v>5816221.455041158</v>
      </c>
    </row>
    <row r="11" spans="1:7" s="8" customFormat="1" ht="18.75">
      <c r="A11" s="9" t="s">
        <v>88</v>
      </c>
      <c r="B11" s="12">
        <f>618030*1.05</f>
        <v>648931.5</v>
      </c>
      <c r="C11" s="12">
        <f aca="true" t="shared" si="1" ref="C11:G12">B11*1.05</f>
        <v>681378.0750000001</v>
      </c>
      <c r="D11" s="12">
        <f t="shared" si="1"/>
        <v>715446.9787500001</v>
      </c>
      <c r="E11" s="12">
        <f t="shared" si="1"/>
        <v>751219.3276875002</v>
      </c>
      <c r="F11" s="12">
        <f t="shared" si="1"/>
        <v>788780.2940718752</v>
      </c>
      <c r="G11" s="12">
        <f t="shared" si="1"/>
        <v>828219.308775469</v>
      </c>
    </row>
    <row r="12" spans="1:7" s="8" customFormat="1" ht="18.75">
      <c r="A12" s="13" t="s">
        <v>89</v>
      </c>
      <c r="B12" s="12">
        <f>-B19*0.98</f>
        <v>3151232.238</v>
      </c>
      <c r="C12" s="12">
        <f t="shared" si="1"/>
        <v>3308793.8499000003</v>
      </c>
      <c r="D12" s="12">
        <f t="shared" si="1"/>
        <v>3474233.5423950003</v>
      </c>
      <c r="E12" s="12">
        <f t="shared" si="1"/>
        <v>3647945.2195147504</v>
      </c>
      <c r="F12" s="12">
        <f t="shared" si="1"/>
        <v>3830342.480490488</v>
      </c>
      <c r="G12" s="12">
        <f t="shared" si="1"/>
        <v>4021859.6045150124</v>
      </c>
    </row>
    <row r="13" spans="1:7" s="36" customFormat="1" ht="18.75">
      <c r="A13" s="13" t="s">
        <v>90</v>
      </c>
      <c r="B13" s="12">
        <f>1465498.2223336*1.05</f>
        <v>1538773.1334502802</v>
      </c>
      <c r="C13" s="12">
        <f>B13*1.05</f>
        <v>1615711.7901227942</v>
      </c>
      <c r="D13" s="12">
        <f>C13*1.05</f>
        <v>1696497.379628934</v>
      </c>
      <c r="E13" s="12">
        <f>D13*1.05</f>
        <v>1781322.2486103808</v>
      </c>
      <c r="F13" s="12">
        <f>E13*1.05</f>
        <v>1870388.3610409</v>
      </c>
      <c r="G13" s="12">
        <f>F13*1.05</f>
        <v>1963907.7790929452</v>
      </c>
    </row>
    <row r="14" spans="1:7" s="5" customFormat="1" ht="15.75">
      <c r="A14" s="14" t="s">
        <v>73</v>
      </c>
      <c r="B14" s="15">
        <f aca="true" t="shared" si="2" ref="B14:G14">SUM(B8:B13)</f>
        <v>26080762.19916528</v>
      </c>
      <c r="C14" s="15">
        <f t="shared" si="2"/>
        <v>27346595.355057463</v>
      </c>
      <c r="D14" s="15">
        <f t="shared" si="2"/>
        <v>28687664.853682484</v>
      </c>
      <c r="E14" s="15">
        <f t="shared" si="2"/>
        <v>30083639.161801673</v>
      </c>
      <c r="F14" s="15">
        <f t="shared" si="2"/>
        <v>31540112.128745124</v>
      </c>
      <c r="G14" s="15">
        <f t="shared" si="2"/>
        <v>33059270.821061607</v>
      </c>
    </row>
    <row r="15" spans="1:7" s="8" customFormat="1" ht="15.75">
      <c r="A15" s="16" t="s">
        <v>74</v>
      </c>
      <c r="B15" s="7"/>
      <c r="C15" s="7"/>
      <c r="D15" s="7"/>
      <c r="E15" s="7"/>
      <c r="F15" s="7"/>
      <c r="G15" s="7"/>
    </row>
    <row r="16" spans="1:7" s="8" customFormat="1" ht="18.75">
      <c r="A16" s="17" t="s">
        <v>91</v>
      </c>
      <c r="B16" s="10">
        <v>-15426830.349999998</v>
      </c>
      <c r="C16" s="10">
        <f>(B16+B17-150000)*1.05+C10</f>
        <v>-16355671.867499996</v>
      </c>
      <c r="D16" s="10">
        <f>(C16+C17-(150000*1.05))*1.0516+D10</f>
        <v>-17372907.567518998</v>
      </c>
      <c r="E16" s="10">
        <f>(D16+D17-((150000*1.05)*1.0516))*1.048+E10</f>
        <v>-18370335.68521141</v>
      </c>
      <c r="F16" s="10">
        <f>(E16+E17-(((150000*1.05)*1.0516))*1.048)*1.048+F10</f>
        <v>-19423469.626083635</v>
      </c>
      <c r="G16" s="10">
        <f>(F16+F17-((((150000*1.05)*1.0516))*1.048)*1.048)*1.048+G10</f>
        <v>-20535358.06992361</v>
      </c>
    </row>
    <row r="17" spans="1:7" s="8" customFormat="1" ht="18.75">
      <c r="A17" s="17" t="s">
        <v>92</v>
      </c>
      <c r="B17" s="10">
        <f aca="true" t="shared" si="3" ref="B17:G20">-B10</f>
        <v>-4557161.7</v>
      </c>
      <c r="C17" s="10">
        <f t="shared" si="3"/>
        <v>-4785019.785</v>
      </c>
      <c r="D17" s="10">
        <f t="shared" si="3"/>
        <v>-5024270.774250001</v>
      </c>
      <c r="E17" s="10">
        <f t="shared" si="3"/>
        <v>-5275484.312962501</v>
      </c>
      <c r="F17" s="10">
        <f t="shared" si="3"/>
        <v>-5539258.528610626</v>
      </c>
      <c r="G17" s="10">
        <f t="shared" si="3"/>
        <v>-5816221.455041158</v>
      </c>
    </row>
    <row r="18" spans="1:7" s="8" customFormat="1" ht="18.75">
      <c r="A18" s="17" t="s">
        <v>93</v>
      </c>
      <c r="B18" s="10">
        <f t="shared" si="3"/>
        <v>-648931.5</v>
      </c>
      <c r="C18" s="10">
        <f t="shared" si="3"/>
        <v>-681378.0750000001</v>
      </c>
      <c r="D18" s="10">
        <f t="shared" si="3"/>
        <v>-715446.9787500001</v>
      </c>
      <c r="E18" s="10">
        <f t="shared" si="3"/>
        <v>-751219.3276875002</v>
      </c>
      <c r="F18" s="10">
        <f t="shared" si="3"/>
        <v>-788780.2940718752</v>
      </c>
      <c r="G18" s="10">
        <f t="shared" si="3"/>
        <v>-828219.308775469</v>
      </c>
    </row>
    <row r="19" spans="1:7" s="8" customFormat="1" ht="18.75">
      <c r="A19" s="17" t="s">
        <v>94</v>
      </c>
      <c r="B19" s="10">
        <f>(-3056799+-5623)*1.05</f>
        <v>-3215543.1</v>
      </c>
      <c r="C19" s="10">
        <f>(B19*1.05)</f>
        <v>-3376320.2550000004</v>
      </c>
      <c r="D19" s="10">
        <f>(C19*1.05)</f>
        <v>-3545136.2677500006</v>
      </c>
      <c r="E19" s="10">
        <f>(D19*1.05)</f>
        <v>-3722393.0811375007</v>
      </c>
      <c r="F19" s="10">
        <f>(E19*1.05)</f>
        <v>-3908512.7351943757</v>
      </c>
      <c r="G19" s="10">
        <f>(F19*1.05)</f>
        <v>-4103938.3719540946</v>
      </c>
    </row>
    <row r="20" spans="1:9" s="36" customFormat="1" ht="18.75">
      <c r="A20" s="17" t="s">
        <v>95</v>
      </c>
      <c r="B20" s="10">
        <f t="shared" si="3"/>
        <v>-1538773.1334502802</v>
      </c>
      <c r="C20" s="10">
        <f t="shared" si="3"/>
        <v>-1615711.7901227942</v>
      </c>
      <c r="D20" s="10">
        <f t="shared" si="3"/>
        <v>-1696497.379628934</v>
      </c>
      <c r="E20" s="10">
        <f t="shared" si="3"/>
        <v>-1781322.2486103808</v>
      </c>
      <c r="F20" s="10">
        <f t="shared" si="3"/>
        <v>-1870388.3610409</v>
      </c>
      <c r="G20" s="10">
        <f t="shared" si="3"/>
        <v>-1963907.7790929452</v>
      </c>
      <c r="I20" s="37"/>
    </row>
    <row r="21" spans="1:9" s="8" customFormat="1" ht="18.75">
      <c r="A21" s="17" t="s">
        <v>96</v>
      </c>
      <c r="B21" s="10">
        <f aca="true" t="shared" si="4" ref="B21:G21">-300000</f>
        <v>-300000</v>
      </c>
      <c r="C21" s="10">
        <f t="shared" si="4"/>
        <v>-300000</v>
      </c>
      <c r="D21" s="10">
        <f t="shared" si="4"/>
        <v>-300000</v>
      </c>
      <c r="E21" s="10">
        <f t="shared" si="4"/>
        <v>-300000</v>
      </c>
      <c r="F21" s="10">
        <f t="shared" si="4"/>
        <v>-300000</v>
      </c>
      <c r="G21" s="10">
        <f t="shared" si="4"/>
        <v>-300000</v>
      </c>
      <c r="I21" s="5"/>
    </row>
    <row r="22" spans="1:9" s="5" customFormat="1" ht="15.75">
      <c r="A22" s="18" t="s">
        <v>75</v>
      </c>
      <c r="B22" s="19">
        <f aca="true" t="shared" si="5" ref="B22:G22">SUM(B16:B21)</f>
        <v>-25687239.78345028</v>
      </c>
      <c r="C22" s="19">
        <f t="shared" si="5"/>
        <v>-27114101.77262279</v>
      </c>
      <c r="D22" s="19">
        <f t="shared" si="5"/>
        <v>-28654258.967897937</v>
      </c>
      <c r="E22" s="19">
        <f t="shared" si="5"/>
        <v>-30200754.655609295</v>
      </c>
      <c r="F22" s="19">
        <f t="shared" si="5"/>
        <v>-31830409.545001414</v>
      </c>
      <c r="G22" s="19">
        <f t="shared" si="5"/>
        <v>-33547644.984787278</v>
      </c>
      <c r="I22" s="8"/>
    </row>
    <row r="23" spans="1:9" s="5" customFormat="1" ht="18.75">
      <c r="A23" s="3" t="s">
        <v>101</v>
      </c>
      <c r="B23" s="38">
        <f aca="true" t="shared" si="6" ref="B23:G23">-B19*0.02</f>
        <v>64310.862</v>
      </c>
      <c r="C23" s="38">
        <f t="shared" si="6"/>
        <v>67526.4051</v>
      </c>
      <c r="D23" s="38">
        <f t="shared" si="6"/>
        <v>70902.72535500002</v>
      </c>
      <c r="E23" s="38">
        <f t="shared" si="6"/>
        <v>74447.86162275002</v>
      </c>
      <c r="F23" s="38">
        <f t="shared" si="6"/>
        <v>78170.25470388752</v>
      </c>
      <c r="G23" s="38">
        <f t="shared" si="6"/>
        <v>82078.7674390819</v>
      </c>
      <c r="I23" s="8"/>
    </row>
    <row r="24" spans="1:9" s="8" customFormat="1" ht="15.75">
      <c r="A24" s="20" t="s">
        <v>76</v>
      </c>
      <c r="B24" s="21"/>
      <c r="C24" s="21"/>
      <c r="D24" s="21"/>
      <c r="E24" s="21"/>
      <c r="F24" s="21"/>
      <c r="G24" s="21"/>
      <c r="I24" s="22"/>
    </row>
    <row r="25" spans="1:9" s="36" customFormat="1" ht="15.75">
      <c r="A25" s="17" t="s">
        <v>80</v>
      </c>
      <c r="B25" s="70"/>
      <c r="C25" s="70"/>
      <c r="D25" s="70"/>
      <c r="E25" s="70"/>
      <c r="F25" s="70"/>
      <c r="G25" s="70"/>
      <c r="I25" s="71"/>
    </row>
    <row r="26" spans="1:9" s="22" customFormat="1" ht="15.75">
      <c r="A26" s="16" t="s">
        <v>77</v>
      </c>
      <c r="B26" s="19">
        <f aca="true" t="shared" si="7" ref="B26:G26">SUM(B25)</f>
        <v>0</v>
      </c>
      <c r="C26" s="19">
        <f t="shared" si="7"/>
        <v>0</v>
      </c>
      <c r="D26" s="19">
        <f t="shared" si="7"/>
        <v>0</v>
      </c>
      <c r="E26" s="19">
        <f t="shared" si="7"/>
        <v>0</v>
      </c>
      <c r="F26" s="19">
        <f t="shared" si="7"/>
        <v>0</v>
      </c>
      <c r="G26" s="19">
        <f t="shared" si="7"/>
        <v>0</v>
      </c>
      <c r="H26" s="8"/>
      <c r="I26" s="8"/>
    </row>
    <row r="27" spans="1:79" s="25" customFormat="1" ht="15.75">
      <c r="A27" s="3" t="s">
        <v>78</v>
      </c>
      <c r="B27" s="23">
        <f aca="true" t="shared" si="8" ref="B27:G27">B6+B14+B22+B23+B26</f>
        <v>3062451.9977150005</v>
      </c>
      <c r="C27" s="23">
        <f t="shared" si="8"/>
        <v>3362471.985249673</v>
      </c>
      <c r="D27" s="23">
        <f t="shared" si="8"/>
        <v>3466780.59638922</v>
      </c>
      <c r="E27" s="23">
        <f t="shared" si="8"/>
        <v>3424112.9642043477</v>
      </c>
      <c r="F27" s="23">
        <f t="shared" si="8"/>
        <v>3211985.8026519464</v>
      </c>
      <c r="G27" s="23">
        <f t="shared" si="8"/>
        <v>2805690.406365357</v>
      </c>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row>
    <row r="28" spans="1:7" s="8" customFormat="1" ht="15.75">
      <c r="A28" s="20" t="s">
        <v>79</v>
      </c>
      <c r="B28" s="26"/>
      <c r="C28" s="26"/>
      <c r="D28" s="26"/>
      <c r="E28" s="26"/>
      <c r="F28" s="26"/>
      <c r="G28" s="26"/>
    </row>
    <row r="29" spans="1:7" s="8" customFormat="1" ht="15.75">
      <c r="A29" s="17" t="s">
        <v>80</v>
      </c>
      <c r="B29" s="26"/>
      <c r="C29" s="26"/>
      <c r="D29" s="26"/>
      <c r="E29" s="26"/>
      <c r="F29" s="26"/>
      <c r="G29" s="26"/>
    </row>
    <row r="30" spans="1:7" s="5" customFormat="1" ht="15.75">
      <c r="A30" s="20" t="s">
        <v>81</v>
      </c>
      <c r="B30" s="19">
        <f aca="true" t="shared" si="9" ref="B30:G30">SUM(B29)</f>
        <v>0</v>
      </c>
      <c r="C30" s="19">
        <f t="shared" si="9"/>
        <v>0</v>
      </c>
      <c r="D30" s="19">
        <f t="shared" si="9"/>
        <v>0</v>
      </c>
      <c r="E30" s="19">
        <f t="shared" si="9"/>
        <v>0</v>
      </c>
      <c r="F30" s="19">
        <f t="shared" si="9"/>
        <v>0</v>
      </c>
      <c r="G30" s="19">
        <f t="shared" si="9"/>
        <v>0</v>
      </c>
    </row>
    <row r="31" spans="1:7" s="5" customFormat="1" ht="15.75">
      <c r="A31" s="3" t="s">
        <v>82</v>
      </c>
      <c r="B31" s="23">
        <f aca="true" t="shared" si="10" ref="B31:G31">B30+B27</f>
        <v>3062451.9977150005</v>
      </c>
      <c r="C31" s="23">
        <f t="shared" si="10"/>
        <v>3362471.985249673</v>
      </c>
      <c r="D31" s="23">
        <f t="shared" si="10"/>
        <v>3466780.59638922</v>
      </c>
      <c r="E31" s="23">
        <f t="shared" si="10"/>
        <v>3424112.9642043477</v>
      </c>
      <c r="F31" s="23">
        <f t="shared" si="10"/>
        <v>3211985.8026519464</v>
      </c>
      <c r="G31" s="23">
        <f t="shared" si="10"/>
        <v>2805690.406365357</v>
      </c>
    </row>
    <row r="32" spans="1:7" s="8" customFormat="1" ht="18.75">
      <c r="A32" s="27" t="s">
        <v>19</v>
      </c>
      <c r="B32" s="23">
        <f aca="true" t="shared" si="11" ref="B32:G32">-B22*1/12</f>
        <v>2140603.3152875234</v>
      </c>
      <c r="C32" s="23">
        <f t="shared" si="11"/>
        <v>2259508.481051899</v>
      </c>
      <c r="D32" s="23">
        <f t="shared" si="11"/>
        <v>2387854.9139914946</v>
      </c>
      <c r="E32" s="23">
        <f t="shared" si="11"/>
        <v>2516729.5546341077</v>
      </c>
      <c r="F32" s="23">
        <f t="shared" si="11"/>
        <v>2652534.128750118</v>
      </c>
      <c r="G32" s="23">
        <f t="shared" si="11"/>
        <v>2795637.0820656065</v>
      </c>
    </row>
    <row r="33" spans="1:7" s="8" customFormat="1" ht="15.75">
      <c r="A33" s="28"/>
      <c r="B33" s="29"/>
      <c r="C33" s="29"/>
      <c r="D33" s="29"/>
      <c r="E33" s="29"/>
      <c r="F33" s="29"/>
      <c r="G33" s="29"/>
    </row>
    <row r="34" spans="1:8" s="31" customFormat="1" ht="12.75">
      <c r="A34" s="30" t="s">
        <v>83</v>
      </c>
      <c r="H34" s="72"/>
    </row>
    <row r="35" spans="1:7" s="31" customFormat="1" ht="13.5" customHeight="1">
      <c r="A35" s="81" t="s">
        <v>103</v>
      </c>
      <c r="B35" s="76"/>
      <c r="C35" s="76"/>
      <c r="D35" s="76"/>
      <c r="E35" s="76"/>
      <c r="F35" s="76"/>
      <c r="G35" s="76"/>
    </row>
    <row r="36" spans="1:7" s="73" customFormat="1" ht="27" customHeight="1">
      <c r="A36" s="80" t="s">
        <v>21</v>
      </c>
      <c r="B36" s="85"/>
      <c r="C36" s="85"/>
      <c r="D36" s="85"/>
      <c r="E36" s="85"/>
      <c r="F36" s="85"/>
      <c r="G36" s="85"/>
    </row>
    <row r="37" spans="1:8" s="73" customFormat="1" ht="27" customHeight="1">
      <c r="A37" s="80" t="s">
        <v>23</v>
      </c>
      <c r="B37" s="85"/>
      <c r="C37" s="85"/>
      <c r="D37" s="85"/>
      <c r="E37" s="85"/>
      <c r="F37" s="85"/>
      <c r="G37" s="85"/>
      <c r="H37" s="50"/>
    </row>
    <row r="38" spans="1:8" s="73" customFormat="1" ht="13.5" customHeight="1">
      <c r="A38" s="80" t="s">
        <v>97</v>
      </c>
      <c r="B38" s="85"/>
      <c r="C38" s="85"/>
      <c r="D38" s="85"/>
      <c r="E38" s="85"/>
      <c r="F38" s="85"/>
      <c r="G38" s="85"/>
      <c r="H38" s="50"/>
    </row>
    <row r="39" spans="1:7" s="73" customFormat="1" ht="13.5" customHeight="1">
      <c r="A39" s="80" t="s">
        <v>31</v>
      </c>
      <c r="B39" s="85"/>
      <c r="C39" s="85"/>
      <c r="D39" s="85"/>
      <c r="E39" s="85"/>
      <c r="F39" s="85"/>
      <c r="G39" s="85"/>
    </row>
    <row r="40" spans="1:7" s="32" customFormat="1" ht="13.5" customHeight="1">
      <c r="A40" s="79" t="s">
        <v>98</v>
      </c>
      <c r="B40" s="76"/>
      <c r="C40" s="76"/>
      <c r="D40" s="76"/>
      <c r="E40" s="76"/>
      <c r="F40" s="76"/>
      <c r="G40" s="76"/>
    </row>
    <row r="41" spans="1:7" s="32" customFormat="1" ht="13.5" customHeight="1">
      <c r="A41" s="79" t="s">
        <v>99</v>
      </c>
      <c r="B41" s="76"/>
      <c r="C41" s="76"/>
      <c r="D41" s="76"/>
      <c r="E41" s="76"/>
      <c r="F41" s="76"/>
      <c r="G41" s="76"/>
    </row>
    <row r="42" spans="1:7" s="32" customFormat="1" ht="27" customHeight="1">
      <c r="A42" s="79" t="s">
        <v>102</v>
      </c>
      <c r="B42" s="76"/>
      <c r="C42" s="76"/>
      <c r="D42" s="76"/>
      <c r="E42" s="76"/>
      <c r="F42" s="76"/>
      <c r="G42" s="76"/>
    </row>
    <row r="43" spans="1:7" s="32" customFormat="1" ht="27" customHeight="1">
      <c r="A43" s="79" t="s">
        <v>22</v>
      </c>
      <c r="B43" s="76"/>
      <c r="C43" s="76"/>
      <c r="D43" s="76"/>
      <c r="E43" s="76"/>
      <c r="F43" s="76"/>
      <c r="G43" s="76"/>
    </row>
    <row r="44" spans="1:7" s="32" customFormat="1" ht="40.5" customHeight="1">
      <c r="A44" s="80" t="s">
        <v>0</v>
      </c>
      <c r="B44" s="85"/>
      <c r="C44" s="85"/>
      <c r="D44" s="85"/>
      <c r="E44" s="85"/>
      <c r="F44" s="85"/>
      <c r="G44" s="85"/>
    </row>
    <row r="45" spans="1:7" s="73" customFormat="1" ht="13.5" customHeight="1">
      <c r="A45" s="80" t="s">
        <v>100</v>
      </c>
      <c r="B45" s="85"/>
      <c r="C45" s="85"/>
      <c r="D45" s="85"/>
      <c r="E45" s="85"/>
      <c r="F45" s="85"/>
      <c r="G45" s="85"/>
    </row>
    <row r="46" spans="1:7" s="73" customFormat="1" ht="13.5" customHeight="1">
      <c r="A46" s="80" t="s">
        <v>20</v>
      </c>
      <c r="B46" s="85"/>
      <c r="C46" s="85"/>
      <c r="D46" s="85"/>
      <c r="E46" s="85"/>
      <c r="F46" s="85"/>
      <c r="G46" s="85"/>
    </row>
    <row r="47" spans="1:7" ht="24" customHeight="1">
      <c r="A47" s="83" t="s">
        <v>2</v>
      </c>
      <c r="B47" s="84"/>
      <c r="C47" s="84"/>
      <c r="D47" s="84"/>
      <c r="E47" s="84"/>
      <c r="F47" s="84"/>
      <c r="G47" s="84"/>
    </row>
    <row r="48" ht="12.75">
      <c r="A48" s="74"/>
    </row>
  </sheetData>
  <mergeCells count="16">
    <mergeCell ref="A1:G1"/>
    <mergeCell ref="A3:G3"/>
    <mergeCell ref="A36:G36"/>
    <mergeCell ref="A37:G37"/>
    <mergeCell ref="A35:G35"/>
    <mergeCell ref="A2:G2"/>
    <mergeCell ref="A38:G38"/>
    <mergeCell ref="A39:G39"/>
    <mergeCell ref="A40:G40"/>
    <mergeCell ref="A41:G41"/>
    <mergeCell ref="A47:G47"/>
    <mergeCell ref="A46:G46"/>
    <mergeCell ref="A42:G42"/>
    <mergeCell ref="A43:G43"/>
    <mergeCell ref="A44:G44"/>
    <mergeCell ref="A45:G45"/>
  </mergeCells>
  <printOptions horizontalCentered="1"/>
  <pageMargins left="0.25" right="0.25" top="1" bottom="1" header="0.25" footer="0.25"/>
  <pageSetup fitToHeight="1" fitToWidth="1" horizontalDpi="600" verticalDpi="600" orientation="portrait" scale="6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Laura Kennison</cp:lastModifiedBy>
  <cp:lastPrinted>2007-03-30T21:14:58Z</cp:lastPrinted>
  <dcterms:created xsi:type="dcterms:W3CDTF">1999-06-02T23:29:55Z</dcterms:created>
  <dcterms:modified xsi:type="dcterms:W3CDTF">2007-03-30T21:16:14Z</dcterms:modified>
  <cp:category/>
  <cp:version/>
  <cp:contentType/>
  <cp:contentStatus/>
</cp:coreProperties>
</file>