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<sst xmlns="http://schemas.openxmlformats.org/spreadsheetml/2006/main" count="60" uniqueCount="50">
  <si>
    <t>2007 Adopted</t>
  </si>
  <si>
    <t>2007 Estimated</t>
  </si>
  <si>
    <t>Beginning Fund Balance</t>
  </si>
  <si>
    <t xml:space="preserve">Revenues </t>
  </si>
  <si>
    <t>Fee Receipts</t>
  </si>
  <si>
    <t>Other Revenue</t>
  </si>
  <si>
    <t>Investment Interest</t>
  </si>
  <si>
    <t>Operating Contingency</t>
  </si>
  <si>
    <t>CX Transfers</t>
  </si>
  <si>
    <t>Total Revenues</t>
  </si>
  <si>
    <t xml:space="preserve">Expenditures </t>
  </si>
  <si>
    <t>Salaries and Benefits</t>
  </si>
  <si>
    <t>Supplies and Contracts</t>
  </si>
  <si>
    <t>Intragovernmental Services</t>
  </si>
  <si>
    <t>Capital &amp; Others</t>
  </si>
  <si>
    <t>Encumbrance Carryover</t>
  </si>
  <si>
    <t>Total Expenditures</t>
  </si>
  <si>
    <t>Estimated Underexpenditures</t>
  </si>
  <si>
    <t>Other Fund Transactions</t>
  </si>
  <si>
    <t>*</t>
  </si>
  <si>
    <t>Total Other Fund Transactions</t>
  </si>
  <si>
    <t>Ending Fund Balance</t>
  </si>
  <si>
    <t>Less: Reserves &amp; Designations</t>
  </si>
  <si>
    <t>Reserve for Staff Reductions</t>
  </si>
  <si>
    <t>Reserve for Encumbrances</t>
  </si>
  <si>
    <t xml:space="preserve">Designated for DDES </t>
  </si>
  <si>
    <t>Designated for Equipment Replacement</t>
  </si>
  <si>
    <t>Total Reserves &amp; Designations</t>
  </si>
  <si>
    <t>Ending Undesignated Fund Balance</t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</si>
  <si>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</si>
  <si>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t xml:space="preserve">Financial Plan Notes: </t>
  </si>
  <si>
    <r>
      <t xml:space="preserve">1 </t>
    </r>
    <r>
      <rPr>
        <sz val="10"/>
        <rFont val="Times New Roman"/>
        <family val="1"/>
      </rPr>
      <t xml:space="preserve"> 2006 Actual Expenditures and Revenues based on 2006 CAFR or 14th month ARMS.</t>
    </r>
  </si>
  <si>
    <t>Form 5</t>
  </si>
  <si>
    <t xml:space="preserve"> </t>
  </si>
  <si>
    <r>
      <t xml:space="preserve">2  </t>
    </r>
    <r>
      <rPr>
        <sz val="10"/>
        <rFont val="Times New Roman"/>
        <family val="1"/>
      </rPr>
      <t>2009 Revenues are estimated to decrease due to dwindling inventory and reduction of DDES' hourly rates</t>
    </r>
  </si>
  <si>
    <r>
      <t>4</t>
    </r>
    <r>
      <rPr>
        <sz val="10"/>
        <rFont val="Times New Roman"/>
        <family val="1"/>
      </rPr>
      <t xml:space="preserve">  Target fund balance is calculated at 1/8th of total expenditures (12.5%)</t>
    </r>
  </si>
  <si>
    <r>
      <t xml:space="preserve"> 2006  Actual  </t>
    </r>
    <r>
      <rPr>
        <b/>
        <vertAlign val="superscript"/>
        <sz val="12"/>
        <rFont val="Times New Roman"/>
        <family val="1"/>
      </rPr>
      <t>1</t>
    </r>
  </si>
  <si>
    <r>
      <t xml:space="preserve">2009 Projected </t>
    </r>
    <r>
      <rPr>
        <b/>
        <vertAlign val="superscript"/>
        <sz val="12"/>
        <rFont val="Times New Roman"/>
        <family val="1"/>
      </rPr>
      <t>2</t>
    </r>
  </si>
  <si>
    <t>P&amp;L Final Order</t>
  </si>
  <si>
    <t xml:space="preserve">Reserve for Revenue Shortfall </t>
  </si>
  <si>
    <t>Reserve for Technology Replacements</t>
  </si>
  <si>
    <r>
      <t>3</t>
    </r>
    <r>
      <rPr>
        <sz val="10"/>
        <rFont val="Times New Roman"/>
        <family val="1"/>
      </rPr>
      <t xml:space="preserve">  2009 and 2010 have a 5% reduction for salary and wages due to annexation expectations </t>
    </r>
  </si>
  <si>
    <r>
      <t xml:space="preserve">5  </t>
    </r>
    <r>
      <rPr>
        <sz val="10"/>
        <rFont val="Times New Roman"/>
        <family val="1"/>
      </rPr>
      <t>Interest Earnings on cash balance to defer future rate increases</t>
    </r>
  </si>
  <si>
    <r>
      <t xml:space="preserve">Reserve for Fee Stabilization </t>
    </r>
    <r>
      <rPr>
        <vertAlign val="superscript"/>
        <sz val="12"/>
        <rFont val="Times New Roman"/>
        <family val="1"/>
      </rPr>
      <t>5</t>
    </r>
  </si>
  <si>
    <r>
      <t>6</t>
    </r>
    <r>
      <rPr>
        <sz val="10"/>
        <rFont val="Times New Roman"/>
        <family val="1"/>
      </rPr>
      <t xml:space="preserve">  Assumes a 5% fee increase in 2010.</t>
    </r>
  </si>
  <si>
    <t xml:space="preserve">Reserve for Fee Waivers &amp; Unanticipated Costs </t>
  </si>
  <si>
    <r>
      <t xml:space="preserve">2010 Projected </t>
    </r>
    <r>
      <rPr>
        <b/>
        <vertAlign val="superscript"/>
        <sz val="12"/>
        <rFont val="Times New Roman"/>
        <family val="1"/>
      </rPr>
      <t>3, 6</t>
    </r>
  </si>
  <si>
    <t>2008 Financial Plan</t>
  </si>
  <si>
    <t>2008 Adopted</t>
  </si>
  <si>
    <t>2008 Revised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</si>
</sst>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  <numFmt numFmtId="167" formatCode="_(* #,##0.000_);_(* \(#,##0.000\);_(* &quot;-&quot;???_);_(@_)"/>
  </numFmts>
  <fonts count="23">
    <font>
      <sz val="10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0"/>
    </font>
    <font>
      <sz val="12"/>
      <color indexed="14"/>
      <name val="Trebuchet MS"/>
      <family val="2"/>
    </font>
    <font>
      <sz val="10"/>
      <color indexed="14"/>
      <name val="Trebuchet MS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rebuchet MS"/>
      <family val="2"/>
    </font>
    <font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8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centerContinuous"/>
    </xf>
    <xf numFmtId="38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3" fillId="0" borderId="0" xfId="0" applyNumberFormat="1" applyFont="1" applyAlignment="1">
      <alignment horizontal="right"/>
    </xf>
    <xf numFmtId="38" fontId="3" fillId="0" borderId="0" xfId="0" applyNumberFormat="1" applyFont="1" applyAlignment="1">
      <alignment horizontal="left"/>
    </xf>
    <xf numFmtId="38" fontId="3" fillId="0" borderId="0" xfId="0" applyNumberFormat="1" applyFont="1" applyAlignment="1">
      <alignment horizontal="center"/>
    </xf>
    <xf numFmtId="164" fontId="6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 quotePrefix="1">
      <alignment/>
    </xf>
    <xf numFmtId="0" fontId="3" fillId="0" borderId="0" xfId="0" applyFont="1" applyAlignment="1">
      <alignment horizontal="right"/>
    </xf>
    <xf numFmtId="38" fontId="3" fillId="0" borderId="0" xfId="0" applyNumberFormat="1" applyFont="1" applyAlignment="1">
      <alignment/>
    </xf>
    <xf numFmtId="164" fontId="10" fillId="0" borderId="0" xfId="15" applyNumberFormat="1" applyFont="1" applyFill="1" applyBorder="1" applyAlignment="1" quotePrefix="1">
      <alignment/>
    </xf>
    <xf numFmtId="164" fontId="11" fillId="0" borderId="0" xfId="15" applyNumberFormat="1" applyFont="1" applyFill="1" applyBorder="1" applyAlignment="1" quotePrefix="1">
      <alignment/>
    </xf>
    <xf numFmtId="37" fontId="5" fillId="0" borderId="0" xfId="19" applyFont="1">
      <alignment/>
      <protection/>
    </xf>
    <xf numFmtId="38" fontId="2" fillId="0" borderId="0" xfId="19" applyNumberFormat="1" applyFont="1" applyBorder="1" applyAlignment="1">
      <alignment horizontal="centerContinuous" wrapText="1"/>
      <protection/>
    </xf>
    <xf numFmtId="38" fontId="3" fillId="0" borderId="0" xfId="0" applyNumberFormat="1" applyFont="1" applyBorder="1" applyAlignment="1">
      <alignment horizontal="centerContinuous" wrapText="1"/>
    </xf>
    <xf numFmtId="38" fontId="12" fillId="0" borderId="0" xfId="19" applyNumberFormat="1" applyFont="1" applyBorder="1" applyAlignment="1">
      <alignment horizontal="centerContinuous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7" fontId="13" fillId="0" borderId="1" xfId="19" applyFont="1" applyFill="1" applyBorder="1" applyAlignment="1">
      <alignment horizontal="left" wrapText="1"/>
      <protection/>
    </xf>
    <xf numFmtId="38" fontId="13" fillId="0" borderId="1" xfId="19" applyNumberFormat="1" applyFont="1" applyFill="1" applyBorder="1" applyAlignment="1">
      <alignment horizontal="centerContinuous" wrapText="1"/>
      <protection/>
    </xf>
    <xf numFmtId="0" fontId="2" fillId="0" borderId="0" xfId="0" applyFont="1" applyFill="1" applyAlignment="1">
      <alignment/>
    </xf>
    <xf numFmtId="164" fontId="0" fillId="0" borderId="0" xfId="15" applyNumberFormat="1" applyFont="1" applyFill="1" applyBorder="1" applyAlignment="1" quotePrefix="1">
      <alignment/>
    </xf>
    <xf numFmtId="0" fontId="3" fillId="0" borderId="0" xfId="0" applyFont="1" applyFill="1" applyAlignment="1">
      <alignment/>
    </xf>
    <xf numFmtId="37" fontId="13" fillId="0" borderId="2" xfId="19" applyFont="1" applyBorder="1" applyAlignment="1" quotePrefix="1">
      <alignment horizontal="left"/>
      <protection/>
    </xf>
    <xf numFmtId="164" fontId="13" fillId="0" borderId="1" xfId="15" applyNumberFormat="1" applyFont="1" applyFill="1" applyBorder="1" applyAlignment="1">
      <alignment/>
    </xf>
    <xf numFmtId="164" fontId="13" fillId="0" borderId="3" xfId="15" applyNumberFormat="1" applyFont="1" applyFill="1" applyBorder="1" applyAlignment="1">
      <alignment/>
    </xf>
    <xf numFmtId="38" fontId="13" fillId="0" borderId="2" xfId="15" applyNumberFormat="1" applyFont="1" applyFill="1" applyBorder="1" applyAlignment="1">
      <alignment/>
    </xf>
    <xf numFmtId="164" fontId="13" fillId="0" borderId="0" xfId="15" applyNumberFormat="1" applyFont="1" applyAlignment="1">
      <alignment/>
    </xf>
    <xf numFmtId="0" fontId="15" fillId="0" borderId="0" xfId="0" applyFont="1" applyAlignment="1">
      <alignment/>
    </xf>
    <xf numFmtId="37" fontId="13" fillId="0" borderId="4" xfId="19" applyFont="1" applyBorder="1" applyAlignment="1" quotePrefix="1">
      <alignment horizontal="left"/>
      <protection/>
    </xf>
    <xf numFmtId="38" fontId="2" fillId="0" borderId="5" xfId="15" applyNumberFormat="1" applyFont="1" applyBorder="1" applyAlignment="1">
      <alignment/>
    </xf>
    <xf numFmtId="38" fontId="2" fillId="0" borderId="5" xfId="15" applyNumberFormat="1" applyFont="1" applyFill="1" applyBorder="1" applyAlignment="1">
      <alignment/>
    </xf>
    <xf numFmtId="164" fontId="2" fillId="0" borderId="0" xfId="15" applyNumberFormat="1" applyFont="1" applyAlignment="1">
      <alignment/>
    </xf>
    <xf numFmtId="164" fontId="16" fillId="0" borderId="0" xfId="15" applyNumberFormat="1" applyFont="1" applyFill="1" applyBorder="1" applyAlignment="1" quotePrefix="1">
      <alignment/>
    </xf>
    <xf numFmtId="37" fontId="2" fillId="0" borderId="4" xfId="19" applyFont="1" applyFill="1" applyBorder="1" applyAlignment="1">
      <alignment horizontal="left"/>
      <protection/>
    </xf>
    <xf numFmtId="164" fontId="2" fillId="0" borderId="4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38" fontId="2" fillId="0" borderId="4" xfId="15" applyNumberFormat="1" applyFont="1" applyFill="1" applyBorder="1" applyAlignment="1">
      <alignment/>
    </xf>
    <xf numFmtId="38" fontId="2" fillId="0" borderId="4" xfId="15" applyNumberFormat="1" applyFont="1" applyBorder="1" applyAlignment="1">
      <alignment/>
    </xf>
    <xf numFmtId="164" fontId="16" fillId="0" borderId="0" xfId="15" applyNumberFormat="1" applyFont="1" applyFill="1" applyBorder="1" applyAlignment="1">
      <alignment/>
    </xf>
    <xf numFmtId="164" fontId="15" fillId="0" borderId="0" xfId="0" applyNumberFormat="1" applyFont="1" applyFill="1" applyAlignment="1">
      <alignment/>
    </xf>
    <xf numFmtId="37" fontId="2" fillId="0" borderId="4" xfId="19" applyFont="1" applyBorder="1" applyAlignment="1">
      <alignment horizontal="left"/>
      <protection/>
    </xf>
    <xf numFmtId="38" fontId="2" fillId="0" borderId="0" xfId="15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37" fontId="13" fillId="0" borderId="2" xfId="19" applyFont="1" applyBorder="1" applyAlignment="1">
      <alignment horizontal="left"/>
      <protection/>
    </xf>
    <xf numFmtId="38" fontId="13" fillId="0" borderId="2" xfId="15" applyNumberFormat="1" applyFont="1" applyBorder="1" applyAlignment="1">
      <alignment/>
    </xf>
    <xf numFmtId="38" fontId="17" fillId="0" borderId="4" xfId="15" applyNumberFormat="1" applyFont="1" applyBorder="1" applyAlignment="1">
      <alignment/>
    </xf>
    <xf numFmtId="38" fontId="17" fillId="0" borderId="5" xfId="15" applyNumberFormat="1" applyFont="1" applyFill="1" applyBorder="1" applyAlignment="1">
      <alignment/>
    </xf>
    <xf numFmtId="38" fontId="2" fillId="0" borderId="0" xfId="0" applyNumberFormat="1" applyFont="1" applyAlignment="1">
      <alignment/>
    </xf>
    <xf numFmtId="164" fontId="17" fillId="0" borderId="6" xfId="15" applyNumberFormat="1" applyFont="1" applyFill="1" applyBorder="1" applyAlignment="1">
      <alignment/>
    </xf>
    <xf numFmtId="38" fontId="17" fillId="0" borderId="4" xfId="15" applyNumberFormat="1" applyFont="1" applyFill="1" applyBorder="1" applyAlignment="1">
      <alignment/>
    </xf>
    <xf numFmtId="165" fontId="2" fillId="0" borderId="0" xfId="15" applyNumberFormat="1" applyFont="1" applyAlignment="1">
      <alignment/>
    </xf>
    <xf numFmtId="38" fontId="2" fillId="0" borderId="6" xfId="15" applyNumberFormat="1" applyFont="1" applyFill="1" applyBorder="1" applyAlignment="1">
      <alignment/>
    </xf>
    <xf numFmtId="38" fontId="17" fillId="0" borderId="0" xfId="15" applyNumberFormat="1" applyFont="1" applyFill="1" applyBorder="1" applyAlignment="1">
      <alignment/>
    </xf>
    <xf numFmtId="38" fontId="13" fillId="0" borderId="7" xfId="15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8" xfId="0" applyFont="1" applyBorder="1" applyAlignment="1">
      <alignment horizontal="left"/>
    </xf>
    <xf numFmtId="38" fontId="2" fillId="2" borderId="2" xfId="15" applyNumberFormat="1" applyFont="1" applyFill="1" applyBorder="1" applyAlignment="1">
      <alignment/>
    </xf>
    <xf numFmtId="38" fontId="2" fillId="0" borderId="1" xfId="15" applyNumberFormat="1" applyFont="1" applyFill="1" applyBorder="1" applyAlignment="1">
      <alignment/>
    </xf>
    <xf numFmtId="37" fontId="13" fillId="0" borderId="9" xfId="19" applyFont="1" applyBorder="1" applyAlignment="1">
      <alignment horizontal="left"/>
      <protection/>
    </xf>
    <xf numFmtId="38" fontId="2" fillId="0" borderId="10" xfId="15" applyNumberFormat="1" applyFont="1" applyFill="1" applyBorder="1" applyAlignment="1">
      <alignment/>
    </xf>
    <xf numFmtId="0" fontId="6" fillId="0" borderId="6" xfId="0" applyFont="1" applyBorder="1" applyAlignment="1">
      <alignment/>
    </xf>
    <xf numFmtId="37" fontId="13" fillId="0" borderId="8" xfId="19" applyFont="1" applyBorder="1" applyAlignment="1" quotePrefix="1">
      <alignment horizontal="left"/>
      <protection/>
    </xf>
    <xf numFmtId="38" fontId="2" fillId="0" borderId="2" xfId="0" applyNumberFormat="1" applyFont="1" applyBorder="1" applyAlignment="1">
      <alignment/>
    </xf>
    <xf numFmtId="38" fontId="2" fillId="0" borderId="7" xfId="15" applyNumberFormat="1" applyFont="1" applyFill="1" applyBorder="1" applyAlignment="1">
      <alignment/>
    </xf>
    <xf numFmtId="38" fontId="2" fillId="0" borderId="11" xfId="15" applyNumberFormat="1" applyFont="1" applyFill="1" applyBorder="1" applyAlignment="1">
      <alignment/>
    </xf>
    <xf numFmtId="38" fontId="2" fillId="0" borderId="2" xfId="15" applyNumberFormat="1" applyFont="1" applyFill="1" applyBorder="1" applyAlignment="1">
      <alignment/>
    </xf>
    <xf numFmtId="37" fontId="13" fillId="0" borderId="8" xfId="19" applyFont="1" applyBorder="1" applyAlignment="1" quotePrefix="1">
      <alignment horizontal="left"/>
      <protection/>
    </xf>
    <xf numFmtId="38" fontId="13" fillId="0" borderId="2" xfId="0" applyNumberFormat="1" applyFont="1" applyBorder="1" applyAlignment="1">
      <alignment/>
    </xf>
    <xf numFmtId="38" fontId="13" fillId="0" borderId="2" xfId="0" applyNumberFormat="1" applyFont="1" applyFill="1" applyBorder="1" applyAlignment="1">
      <alignment/>
    </xf>
    <xf numFmtId="37" fontId="13" fillId="0" borderId="4" xfId="19" applyFont="1" applyBorder="1" applyAlignment="1" quotePrefix="1">
      <alignment horizontal="left"/>
      <protection/>
    </xf>
    <xf numFmtId="38" fontId="17" fillId="0" borderId="6" xfId="15" applyNumberFormat="1" applyFont="1" applyBorder="1" applyAlignment="1">
      <alignment/>
    </xf>
    <xf numFmtId="38" fontId="17" fillId="0" borderId="6" xfId="15" applyNumberFormat="1" applyFont="1" applyFill="1" applyBorder="1" applyAlignment="1">
      <alignment/>
    </xf>
    <xf numFmtId="164" fontId="17" fillId="0" borderId="6" xfId="15" applyNumberFormat="1" applyFont="1" applyBorder="1" applyAlignment="1">
      <alignment/>
    </xf>
    <xf numFmtId="38" fontId="13" fillId="0" borderId="7" xfId="15" applyNumberFormat="1" applyFont="1" applyFill="1" applyBorder="1" applyAlignment="1">
      <alignment/>
    </xf>
    <xf numFmtId="38" fontId="13" fillId="0" borderId="11" xfId="15" applyNumberFormat="1" applyFont="1" applyFill="1" applyBorder="1" applyAlignment="1">
      <alignment/>
    </xf>
    <xf numFmtId="37" fontId="13" fillId="0" borderId="12" xfId="19" applyFont="1" applyBorder="1" applyAlignment="1" quotePrefix="1">
      <alignment horizontal="left"/>
      <protection/>
    </xf>
    <xf numFmtId="38" fontId="13" fillId="0" borderId="1" xfId="15" applyNumberFormat="1" applyFont="1" applyBorder="1" applyAlignment="1">
      <alignment horizontal="right"/>
    </xf>
    <xf numFmtId="38" fontId="13" fillId="0" borderId="1" xfId="15" applyNumberFormat="1" applyFont="1" applyFill="1" applyBorder="1" applyAlignment="1">
      <alignment horizontal="right"/>
    </xf>
    <xf numFmtId="37" fontId="2" fillId="0" borderId="0" xfId="19" applyFont="1">
      <alignment/>
      <protection/>
    </xf>
    <xf numFmtId="38" fontId="2" fillId="0" borderId="0" xfId="19" applyNumberFormat="1" applyFont="1">
      <alignment/>
      <protection/>
    </xf>
    <xf numFmtId="37" fontId="13" fillId="0" borderId="0" xfId="19" applyFont="1" applyAlignment="1">
      <alignment horizontal="left"/>
      <protection/>
    </xf>
    <xf numFmtId="37" fontId="18" fillId="0" borderId="0" xfId="19" applyFont="1" applyBorder="1" applyAlignment="1">
      <alignment horizontal="left"/>
      <protection/>
    </xf>
    <xf numFmtId="38" fontId="3" fillId="0" borderId="0" xfId="19" applyNumberFormat="1" applyFont="1" applyBorder="1">
      <alignment/>
      <protection/>
    </xf>
    <xf numFmtId="38" fontId="19" fillId="0" borderId="0" xfId="19" applyNumberFormat="1" applyFont="1" applyBorder="1" applyAlignment="1" quotePrefix="1">
      <alignment horizontal="left" vertical="top"/>
      <protection/>
    </xf>
    <xf numFmtId="38" fontId="3" fillId="0" borderId="0" xfId="19" applyNumberFormat="1" applyFont="1" applyBorder="1" applyAlignment="1">
      <alignment horizontal="left" vertical="top"/>
      <protection/>
    </xf>
    <xf numFmtId="38" fontId="20" fillId="0" borderId="0" xfId="0" applyNumberFormat="1" applyFont="1" applyAlignment="1" quotePrefix="1">
      <alignment horizontal="left"/>
    </xf>
    <xf numFmtId="0" fontId="18" fillId="0" borderId="0" xfId="0" applyFont="1" applyAlignment="1">
      <alignment/>
    </xf>
    <xf numFmtId="38" fontId="3" fillId="0" borderId="0" xfId="19" applyNumberFormat="1" applyFont="1" applyAlignment="1">
      <alignment horizontal="left" vertical="top"/>
      <protection/>
    </xf>
    <xf numFmtId="38" fontId="3" fillId="0" borderId="0" xfId="19" applyNumberFormat="1" applyFont="1">
      <alignment/>
      <protection/>
    </xf>
    <xf numFmtId="164" fontId="2" fillId="0" borderId="4" xfId="15" applyNumberFormat="1" applyFont="1" applyFill="1" applyBorder="1" applyAlignment="1" quotePrefix="1">
      <alignment/>
    </xf>
    <xf numFmtId="0" fontId="13" fillId="0" borderId="0" xfId="0" applyFont="1" applyAlignment="1">
      <alignment horizontal="centerContinuous"/>
    </xf>
    <xf numFmtId="38" fontId="2" fillId="0" borderId="0" xfId="0" applyNumberFormat="1" applyFont="1" applyAlignment="1">
      <alignment horizontal="centerContinuous"/>
    </xf>
    <xf numFmtId="0" fontId="18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Budget%202008\Internal%20Spreadsheets\Cost%20Allocation%20Plan%202008\Cost%20Allocation%20final%20as%20adjusted%2009-14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Allocation "/>
      <sheetName val="Calculation of reduced Arson OH"/>
      <sheetName val="CWS by Account"/>
      <sheetName val="Consolidating Work Sheet"/>
      <sheetName val="O&amp;M Summary"/>
      <sheetName val="Crosswalk Staff numbers"/>
      <sheetName val="LUSD Revenue Proj"/>
      <sheetName val="BSD Revenue Proj"/>
      <sheetName val="Code Enforcement Detail"/>
    </sheetNames>
    <sheetDataSet>
      <sheetData sheetId="0">
        <row r="18">
          <cell r="H18">
            <v>970608</v>
          </cell>
        </row>
      </sheetData>
      <sheetData sheetId="2">
        <row r="308">
          <cell r="F308">
            <v>975000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7.28125" style="19" customWidth="1"/>
    <col min="2" max="2" width="18.28125" style="14" customWidth="1"/>
    <col min="3" max="3" width="19.28125" style="15" customWidth="1"/>
    <col min="4" max="4" width="21.421875" style="16" customWidth="1"/>
    <col min="5" max="6" width="20.421875" style="16" customWidth="1"/>
    <col min="7" max="8" width="19.7109375" style="20" customWidth="1"/>
    <col min="9" max="9" width="22.140625" style="2" customWidth="1"/>
    <col min="10" max="10" width="39.421875" style="2" bestFit="1" customWidth="1"/>
    <col min="11" max="11" width="17.28125" style="2" customWidth="1"/>
    <col min="12" max="12" width="11.421875" style="3" bestFit="1" customWidth="1"/>
    <col min="13" max="13" width="9.140625" style="3" customWidth="1"/>
    <col min="14" max="14" width="13.28125" style="3" bestFit="1" customWidth="1"/>
    <col min="15" max="16384" width="9.140625" style="3" customWidth="1"/>
  </cols>
  <sheetData>
    <row r="1" spans="1:8" s="2" customFormat="1" ht="24.75" customHeight="1">
      <c r="A1" s="102" t="s">
        <v>32</v>
      </c>
      <c r="B1" s="103"/>
      <c r="C1" s="103"/>
      <c r="D1" s="103"/>
      <c r="E1" s="103"/>
      <c r="F1" s="103"/>
      <c r="G1" s="103"/>
      <c r="H1" s="103"/>
    </row>
    <row r="2" spans="1:8" ht="14.25" customHeight="1">
      <c r="A2" s="4"/>
      <c r="B2" s="1"/>
      <c r="C2" s="1"/>
      <c r="D2" s="1"/>
      <c r="E2" s="1"/>
      <c r="F2" s="1"/>
      <c r="G2" s="1"/>
      <c r="H2" s="1"/>
    </row>
    <row r="3" spans="1:11" s="7" customFormat="1" ht="25.5" customHeight="1">
      <c r="A3" s="102" t="s">
        <v>47</v>
      </c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s="13" customFormat="1" ht="22.5">
      <c r="A4" s="8" t="s">
        <v>33</v>
      </c>
      <c r="B4" s="9"/>
      <c r="C4" s="10"/>
      <c r="D4" s="11"/>
      <c r="E4" s="9"/>
      <c r="F4" s="9"/>
      <c r="G4" s="9"/>
      <c r="H4" s="9"/>
      <c r="I4" s="12"/>
      <c r="J4" s="12"/>
      <c r="K4" s="12"/>
    </row>
    <row r="5" spans="1:14" s="28" customFormat="1" ht="17.25" customHeight="1">
      <c r="A5" s="23"/>
      <c r="B5" s="24"/>
      <c r="C5" s="25"/>
      <c r="D5" s="26"/>
      <c r="E5" s="24"/>
      <c r="F5" s="24"/>
      <c r="G5" s="24"/>
      <c r="H5" s="24"/>
      <c r="I5" s="27"/>
      <c r="J5" s="18"/>
      <c r="K5" s="21"/>
      <c r="L5" s="22"/>
      <c r="M5" s="22"/>
      <c r="N5" s="22"/>
    </row>
    <row r="6" spans="1:14" s="33" customFormat="1" ht="45.75" customHeight="1">
      <c r="A6" s="29"/>
      <c r="B6" s="30" t="s">
        <v>36</v>
      </c>
      <c r="C6" s="30" t="s">
        <v>0</v>
      </c>
      <c r="D6" s="30" t="s">
        <v>1</v>
      </c>
      <c r="E6" s="30" t="s">
        <v>48</v>
      </c>
      <c r="F6" s="30" t="s">
        <v>49</v>
      </c>
      <c r="G6" s="30" t="s">
        <v>37</v>
      </c>
      <c r="H6" s="30" t="s">
        <v>46</v>
      </c>
      <c r="I6" s="31"/>
      <c r="J6" s="21"/>
      <c r="K6" s="18"/>
      <c r="L6" s="32"/>
      <c r="M6" s="32"/>
      <c r="N6" s="32"/>
    </row>
    <row r="7" spans="1:14" s="39" customFormat="1" ht="23.25" customHeight="1">
      <c r="A7" s="34" t="s">
        <v>2</v>
      </c>
      <c r="B7" s="35">
        <v>13792931.49</v>
      </c>
      <c r="C7" s="36">
        <f>12655726</f>
        <v>12655726</v>
      </c>
      <c r="D7" s="37">
        <v>17721962.52</v>
      </c>
      <c r="E7" s="37">
        <f>D30</f>
        <v>14286026.499999996</v>
      </c>
      <c r="F7" s="37">
        <v>14286027</v>
      </c>
      <c r="G7" s="37">
        <f>F30</f>
        <v>12224311.76</v>
      </c>
      <c r="H7" s="37">
        <f>G30</f>
        <v>10017831.610000001</v>
      </c>
      <c r="I7" s="38"/>
      <c r="J7" s="21"/>
      <c r="K7" s="18"/>
      <c r="L7" s="32"/>
      <c r="M7" s="32"/>
      <c r="N7" s="32"/>
    </row>
    <row r="8" spans="1:14" ht="18.75" customHeight="1">
      <c r="A8" s="40" t="s">
        <v>3</v>
      </c>
      <c r="B8" s="41"/>
      <c r="C8" s="42"/>
      <c r="D8" s="42"/>
      <c r="E8" s="42"/>
      <c r="F8" s="42"/>
      <c r="G8" s="42"/>
      <c r="H8" s="42"/>
      <c r="I8" s="43"/>
      <c r="J8" s="44"/>
      <c r="K8" s="18"/>
      <c r="L8" s="32"/>
      <c r="M8" s="32"/>
      <c r="N8" s="32"/>
    </row>
    <row r="9" spans="1:14" ht="15.75" customHeight="1">
      <c r="A9" s="45" t="s">
        <v>4</v>
      </c>
      <c r="B9" s="46">
        <v>25358517.97</v>
      </c>
      <c r="C9" s="47">
        <v>25470343</v>
      </c>
      <c r="D9" s="47">
        <v>22362758.16</v>
      </c>
      <c r="E9" s="48">
        <v>24393004</v>
      </c>
      <c r="F9" s="48">
        <f>E9-63441</f>
        <v>24329563</v>
      </c>
      <c r="G9" s="49">
        <f>E9*0.9</f>
        <v>21953703.6</v>
      </c>
      <c r="H9" s="49">
        <f>+G9*0.05+G9</f>
        <v>23051388.78</v>
      </c>
      <c r="I9" s="43"/>
      <c r="J9" s="50"/>
      <c r="K9" s="18"/>
      <c r="L9" s="32"/>
      <c r="M9" s="32"/>
      <c r="N9" s="32"/>
    </row>
    <row r="10" spans="1:14" ht="15.75" customHeight="1">
      <c r="A10" s="45" t="s">
        <v>5</v>
      </c>
      <c r="B10" s="46">
        <v>1087637.61</v>
      </c>
      <c r="C10" s="47">
        <v>1293724</v>
      </c>
      <c r="D10" s="47">
        <v>1293724</v>
      </c>
      <c r="E10" s="48">
        <v>1224866</v>
      </c>
      <c r="F10" s="48">
        <f>E10</f>
        <v>1224866</v>
      </c>
      <c r="G10" s="49">
        <f>E10*0.9</f>
        <v>1102379.4000000001</v>
      </c>
      <c r="H10" s="49">
        <f>G10</f>
        <v>1102379.4000000001</v>
      </c>
      <c r="I10" s="43"/>
      <c r="J10" s="44"/>
      <c r="K10" s="18"/>
      <c r="L10" s="32"/>
      <c r="M10" s="32"/>
      <c r="N10" s="32"/>
    </row>
    <row r="11" spans="1:14" ht="15.75" customHeight="1">
      <c r="A11" s="45" t="s">
        <v>6</v>
      </c>
      <c r="B11" s="46">
        <v>2180749.58</v>
      </c>
      <c r="C11" s="47">
        <v>400000</v>
      </c>
      <c r="D11" s="47">
        <v>1677547.76</v>
      </c>
      <c r="E11" s="48">
        <v>1200000</v>
      </c>
      <c r="F11" s="48">
        <v>1200000</v>
      </c>
      <c r="G11" s="48">
        <f>E11*1.053</f>
        <v>1263600</v>
      </c>
      <c r="H11" s="48">
        <f>G11*1.053</f>
        <v>1330570.7999999998</v>
      </c>
      <c r="I11" s="43"/>
      <c r="J11" s="21"/>
      <c r="K11" s="18"/>
      <c r="L11" s="32"/>
      <c r="M11" s="32"/>
      <c r="N11" s="32"/>
    </row>
    <row r="12" spans="1:14" ht="15.75" customHeight="1">
      <c r="A12" s="45" t="s">
        <v>7</v>
      </c>
      <c r="B12" s="46"/>
      <c r="C12" s="47">
        <v>977905</v>
      </c>
      <c r="D12" s="47">
        <v>977905</v>
      </c>
      <c r="E12" s="48">
        <f>+'[1]Cost Allocation '!$H$18</f>
        <v>970608</v>
      </c>
      <c r="F12" s="48">
        <v>970608</v>
      </c>
      <c r="G12" s="48">
        <v>1000000</v>
      </c>
      <c r="H12" s="48">
        <v>1000000</v>
      </c>
      <c r="I12" s="43"/>
      <c r="J12" s="31"/>
      <c r="K12" s="31"/>
      <c r="L12" s="33"/>
      <c r="M12" s="33"/>
      <c r="N12" s="51"/>
    </row>
    <row r="13" spans="1:14" ht="15.75" customHeight="1">
      <c r="A13" s="45" t="s">
        <v>8</v>
      </c>
      <c r="B13" s="46">
        <v>3152269</v>
      </c>
      <c r="C13" s="47">
        <v>3465290</v>
      </c>
      <c r="D13" s="47">
        <v>3465290</v>
      </c>
      <c r="E13" s="48">
        <v>2541641</v>
      </c>
      <c r="F13" s="48">
        <f>E13-23403</f>
        <v>2518238</v>
      </c>
      <c r="G13" s="101">
        <f>+E13*0.95</f>
        <v>2414558.9499999997</v>
      </c>
      <c r="H13" s="101">
        <f>+G13*0.95</f>
        <v>2293831.0024999995</v>
      </c>
      <c r="I13" s="43"/>
      <c r="J13" s="31"/>
      <c r="K13" s="31"/>
      <c r="L13" s="33"/>
      <c r="M13" s="33"/>
      <c r="N13" s="33"/>
    </row>
    <row r="14" spans="1:11" ht="13.5" customHeight="1">
      <c r="A14" s="52"/>
      <c r="B14" s="49"/>
      <c r="C14" s="53"/>
      <c r="D14" s="48"/>
      <c r="E14" s="48"/>
      <c r="F14" s="48"/>
      <c r="G14" s="48"/>
      <c r="H14" s="48"/>
      <c r="I14" s="43"/>
      <c r="K14" s="54"/>
    </row>
    <row r="15" spans="1:12" ht="22.5" customHeight="1">
      <c r="A15" s="55" t="s">
        <v>9</v>
      </c>
      <c r="B15" s="56">
        <f aca="true" t="shared" si="0" ref="B15:H15">SUM(B8:B14)</f>
        <v>31779174.159999996</v>
      </c>
      <c r="C15" s="37">
        <f t="shared" si="0"/>
        <v>31607262</v>
      </c>
      <c r="D15" s="37">
        <f t="shared" si="0"/>
        <v>29777224.92</v>
      </c>
      <c r="E15" s="37">
        <f t="shared" si="0"/>
        <v>30330119</v>
      </c>
      <c r="F15" s="37">
        <f>SUM(F9:F13)</f>
        <v>30243275</v>
      </c>
      <c r="G15" s="37">
        <f t="shared" si="0"/>
        <v>27734241.95</v>
      </c>
      <c r="H15" s="37">
        <f t="shared" si="0"/>
        <v>28778169.9825</v>
      </c>
      <c r="I15" s="43"/>
      <c r="J15" s="17"/>
      <c r="K15" s="54"/>
      <c r="L15" s="32"/>
    </row>
    <row r="16" spans="1:11" ht="22.5" customHeight="1">
      <c r="A16" s="40" t="s">
        <v>10</v>
      </c>
      <c r="B16" s="57"/>
      <c r="C16" s="47"/>
      <c r="D16" s="58"/>
      <c r="E16" s="58"/>
      <c r="F16" s="58"/>
      <c r="G16" s="58"/>
      <c r="H16" s="58"/>
      <c r="I16" s="43"/>
      <c r="J16" s="59"/>
      <c r="K16" s="59"/>
    </row>
    <row r="17" spans="1:9" ht="15" customHeight="1">
      <c r="A17" s="45" t="s">
        <v>11</v>
      </c>
      <c r="B17" s="60">
        <v>-21248772.189999998</v>
      </c>
      <c r="C17" s="60">
        <v>-24101545</v>
      </c>
      <c r="D17" s="49">
        <v>-22072599.240000002</v>
      </c>
      <c r="E17" s="49">
        <v>-25037980</v>
      </c>
      <c r="F17" s="49">
        <f>E17+108403</f>
        <v>-24929577</v>
      </c>
      <c r="G17" s="49">
        <f>E17*0.9</f>
        <v>-22534182</v>
      </c>
      <c r="H17" s="49">
        <f>G17*0.9</f>
        <v>-20280763.8</v>
      </c>
      <c r="I17" s="43"/>
    </row>
    <row r="18" spans="1:9" ht="15" customHeight="1">
      <c r="A18" s="45" t="s">
        <v>12</v>
      </c>
      <c r="B18" s="60">
        <v>-1225694.41</v>
      </c>
      <c r="C18" s="60">
        <v>-1544937</v>
      </c>
      <c r="D18" s="49">
        <v>-1602889</v>
      </c>
      <c r="E18" s="49">
        <v>-1807246</v>
      </c>
      <c r="F18" s="49">
        <v>-1807246</v>
      </c>
      <c r="G18" s="49">
        <f>+E18*0.95</f>
        <v>-1716883.7</v>
      </c>
      <c r="H18" s="61">
        <f>+G18*0.95</f>
        <v>-1631039.515</v>
      </c>
      <c r="I18" s="62"/>
    </row>
    <row r="19" spans="1:9" ht="15" customHeight="1">
      <c r="A19" s="45" t="s">
        <v>13</v>
      </c>
      <c r="B19" s="60">
        <v>-4956023.57</v>
      </c>
      <c r="C19" s="60">
        <v>-4968163</v>
      </c>
      <c r="D19" s="49">
        <v>-4973865</v>
      </c>
      <c r="E19" s="49">
        <v>-4082254</v>
      </c>
      <c r="F19" s="49">
        <v>-4082254</v>
      </c>
      <c r="G19" s="49">
        <f>E19*1.02</f>
        <v>-4163899.08</v>
      </c>
      <c r="H19" s="49">
        <f>-4866799*1.02</f>
        <v>-4964134.98</v>
      </c>
      <c r="I19" s="43"/>
    </row>
    <row r="20" spans="1:9" ht="15" customHeight="1">
      <c r="A20" s="45" t="s">
        <v>14</v>
      </c>
      <c r="B20" s="60">
        <v>-419652.96</v>
      </c>
      <c r="C20" s="60">
        <v>-1645864</v>
      </c>
      <c r="D20" s="49">
        <v>-1185094</v>
      </c>
      <c r="E20" s="49">
        <v>-561277</v>
      </c>
      <c r="F20" s="49">
        <v>-561277</v>
      </c>
      <c r="G20" s="49">
        <f>E20*1.03</f>
        <v>-578115.31</v>
      </c>
      <c r="H20" s="49">
        <f>G20*1.03</f>
        <v>-595458.7693</v>
      </c>
      <c r="I20" s="43"/>
    </row>
    <row r="21" spans="1:9" ht="15" customHeight="1">
      <c r="A21" s="45" t="s">
        <v>7</v>
      </c>
      <c r="B21" s="57"/>
      <c r="C21" s="60">
        <v>-975000</v>
      </c>
      <c r="D21" s="49">
        <v>-975000</v>
      </c>
      <c r="E21" s="49">
        <f>-'[1]CWS by Account'!$F$308</f>
        <v>-975000</v>
      </c>
      <c r="F21" s="49">
        <f>-'[1]CWS by Account'!$F$308</f>
        <v>-975000</v>
      </c>
      <c r="G21" s="49">
        <f>-G12</f>
        <v>-1000000</v>
      </c>
      <c r="H21" s="63">
        <f>-H12</f>
        <v>-1000000</v>
      </c>
      <c r="I21" s="43"/>
    </row>
    <row r="22" spans="1:9" ht="15" customHeight="1">
      <c r="A22" s="45" t="s">
        <v>15</v>
      </c>
      <c r="B22" s="57"/>
      <c r="C22" s="60"/>
      <c r="D22" s="49">
        <v>-24290</v>
      </c>
      <c r="E22" s="64"/>
      <c r="F22" s="64"/>
      <c r="G22" s="61"/>
      <c r="H22" s="61"/>
      <c r="I22" s="43"/>
    </row>
    <row r="23" spans="1:9" ht="15" customHeight="1">
      <c r="A23" s="52" t="s">
        <v>38</v>
      </c>
      <c r="B23" s="57"/>
      <c r="C23" s="60"/>
      <c r="D23" s="61">
        <v>-2449429.7</v>
      </c>
      <c r="E23" s="64"/>
      <c r="F23" s="64"/>
      <c r="G23" s="61"/>
      <c r="H23" s="61"/>
      <c r="I23" s="43"/>
    </row>
    <row r="24" spans="1:11" s="39" customFormat="1" ht="20.25" customHeight="1">
      <c r="A24" s="34" t="s">
        <v>16</v>
      </c>
      <c r="B24" s="65">
        <f aca="true" t="shared" si="1" ref="B24:H24">SUM(B16:B23)</f>
        <v>-27850143.13</v>
      </c>
      <c r="C24" s="37">
        <f t="shared" si="1"/>
        <v>-33235509</v>
      </c>
      <c r="D24" s="37">
        <f t="shared" si="1"/>
        <v>-33283166.94</v>
      </c>
      <c r="E24" s="86">
        <f>SUM(E17:E23)</f>
        <v>-32463757</v>
      </c>
      <c r="F24" s="86">
        <f>SUM(F17:F21)</f>
        <v>-32355354</v>
      </c>
      <c r="G24" s="37">
        <f t="shared" si="1"/>
        <v>-29993080.09</v>
      </c>
      <c r="H24" s="37">
        <f t="shared" si="1"/>
        <v>-28471397.0643</v>
      </c>
      <c r="I24" s="38"/>
      <c r="J24" s="18"/>
      <c r="K24" s="66"/>
    </row>
    <row r="25" spans="1:9" ht="27" customHeight="1">
      <c r="A25" s="67" t="s">
        <v>17</v>
      </c>
      <c r="B25" s="68"/>
      <c r="C25" s="69">
        <v>70006</v>
      </c>
      <c r="D25" s="69">
        <v>70006</v>
      </c>
      <c r="E25" s="69">
        <v>50833</v>
      </c>
      <c r="F25" s="69">
        <f>(F13*0.02)-1</f>
        <v>50363.76</v>
      </c>
      <c r="G25" s="69">
        <f>E25*1.03</f>
        <v>52357.99</v>
      </c>
      <c r="H25" s="69">
        <f>G25*1.03</f>
        <v>53928.729699999996</v>
      </c>
      <c r="I25" s="43"/>
    </row>
    <row r="26" spans="1:9" ht="17.25" customHeight="1">
      <c r="A26" s="70" t="s">
        <v>18</v>
      </c>
      <c r="B26" s="48"/>
      <c r="C26" s="63"/>
      <c r="D26" s="53"/>
      <c r="E26" s="48"/>
      <c r="F26" s="48"/>
      <c r="G26" s="42"/>
      <c r="H26" s="71"/>
      <c r="I26" s="43"/>
    </row>
    <row r="27" spans="1:9" ht="17.25" customHeight="1">
      <c r="A27" s="45"/>
      <c r="B27" s="60"/>
      <c r="C27" s="63"/>
      <c r="D27" s="53"/>
      <c r="E27" s="48"/>
      <c r="F27" s="48"/>
      <c r="G27" s="48"/>
      <c r="H27" s="63"/>
      <c r="I27" s="43"/>
    </row>
    <row r="28" spans="1:9" ht="17.25" customHeight="1">
      <c r="A28" s="52" t="s">
        <v>19</v>
      </c>
      <c r="B28" s="72"/>
      <c r="C28" s="63"/>
      <c r="D28" s="53"/>
      <c r="E28" s="48"/>
      <c r="F28" s="48"/>
      <c r="G28" s="48"/>
      <c r="H28" s="63"/>
      <c r="I28" s="43"/>
    </row>
    <row r="29" spans="1:9" ht="19.5" customHeight="1">
      <c r="A29" s="73" t="s">
        <v>20</v>
      </c>
      <c r="B29" s="74">
        <f aca="true" t="shared" si="2" ref="B29:H29">SUM(B26:B28)</f>
        <v>0</v>
      </c>
      <c r="C29" s="75">
        <f t="shared" si="2"/>
        <v>0</v>
      </c>
      <c r="D29" s="76">
        <f t="shared" si="2"/>
        <v>0</v>
      </c>
      <c r="E29" s="77">
        <f t="shared" si="2"/>
        <v>0</v>
      </c>
      <c r="F29" s="77"/>
      <c r="G29" s="77">
        <f t="shared" si="2"/>
        <v>0</v>
      </c>
      <c r="H29" s="75">
        <f t="shared" si="2"/>
        <v>0</v>
      </c>
      <c r="I29" s="43"/>
    </row>
    <row r="30" spans="1:11" s="39" customFormat="1" ht="30.75" customHeight="1">
      <c r="A30" s="78" t="s">
        <v>21</v>
      </c>
      <c r="B30" s="79">
        <f>B7+B15+B24+B29</f>
        <v>17721962.52</v>
      </c>
      <c r="C30" s="80">
        <f aca="true" t="shared" si="3" ref="C30:H30">C7+C15+C24+C25+C29</f>
        <v>11097485</v>
      </c>
      <c r="D30" s="80">
        <f t="shared" si="3"/>
        <v>14286026.499999996</v>
      </c>
      <c r="E30" s="80">
        <f t="shared" si="3"/>
        <v>12203221.5</v>
      </c>
      <c r="F30" s="80">
        <f t="shared" si="3"/>
        <v>12224311.76</v>
      </c>
      <c r="G30" s="80">
        <f t="shared" si="3"/>
        <v>10017831.610000001</v>
      </c>
      <c r="H30" s="80">
        <f t="shared" si="3"/>
        <v>10378533.2579</v>
      </c>
      <c r="I30" s="38" t="s">
        <v>33</v>
      </c>
      <c r="J30" s="66"/>
      <c r="K30" s="66"/>
    </row>
    <row r="31" spans="1:9" ht="20.25" customHeight="1">
      <c r="A31" s="81" t="s">
        <v>22</v>
      </c>
      <c r="B31" s="57"/>
      <c r="C31" s="61"/>
      <c r="D31" s="61"/>
      <c r="E31" s="61"/>
      <c r="F31" s="61"/>
      <c r="G31" s="61"/>
      <c r="H31" s="61"/>
      <c r="I31" s="43"/>
    </row>
    <row r="32" spans="1:9" ht="15.75" customHeight="1">
      <c r="A32" s="45" t="s">
        <v>23</v>
      </c>
      <c r="B32" s="82"/>
      <c r="C32" s="60">
        <v>-456272</v>
      </c>
      <c r="D32" s="60">
        <v>-456272</v>
      </c>
      <c r="E32" s="60">
        <v>-456272</v>
      </c>
      <c r="F32" s="60">
        <v>-456272</v>
      </c>
      <c r="G32" s="60">
        <v>-456272</v>
      </c>
      <c r="H32" s="60">
        <v>-456272</v>
      </c>
      <c r="I32" s="43"/>
    </row>
    <row r="33" spans="1:9" ht="15.75" customHeight="1">
      <c r="A33" s="45" t="s">
        <v>39</v>
      </c>
      <c r="B33" s="82"/>
      <c r="C33" s="60">
        <v>-1273517</v>
      </c>
      <c r="D33" s="60">
        <v>-1273517</v>
      </c>
      <c r="E33" s="60">
        <f>-E9/12*4*0.2</f>
        <v>-1626200.2666666666</v>
      </c>
      <c r="F33" s="60">
        <f>-F9/12*4*0.2</f>
        <v>-1621970.8666666667</v>
      </c>
      <c r="G33" s="60">
        <f>-G9/12*4*0.2</f>
        <v>-1463580.2400000002</v>
      </c>
      <c r="H33" s="60">
        <v>-1265963</v>
      </c>
      <c r="I33" s="43"/>
    </row>
    <row r="34" spans="1:9" ht="15.75" customHeight="1">
      <c r="A34" s="45" t="s">
        <v>40</v>
      </c>
      <c r="B34" s="82"/>
      <c r="C34" s="60">
        <v>-1099744</v>
      </c>
      <c r="D34" s="60">
        <v>-1099744</v>
      </c>
      <c r="E34" s="60">
        <v>-1914595</v>
      </c>
      <c r="F34" s="60">
        <v>-1914595</v>
      </c>
      <c r="G34" s="60">
        <f>+E34</f>
        <v>-1914595</v>
      </c>
      <c r="H34" s="60">
        <f>+G34</f>
        <v>-1914595</v>
      </c>
      <c r="I34" s="62"/>
    </row>
    <row r="35" spans="1:9" ht="15.75" customHeight="1">
      <c r="A35" s="45" t="s">
        <v>45</v>
      </c>
      <c r="B35" s="84"/>
      <c r="C35" s="60">
        <v>-1000000</v>
      </c>
      <c r="D35" s="60">
        <v>-1000000</v>
      </c>
      <c r="E35" s="60">
        <v>-1083338</v>
      </c>
      <c r="F35" s="60">
        <v>-1083338</v>
      </c>
      <c r="G35" s="60">
        <f>+E35*0.25+E35</f>
        <v>-1354172.5</v>
      </c>
      <c r="H35" s="60">
        <f>+G35*0.25+G35</f>
        <v>-1692715.625</v>
      </c>
      <c r="I35" s="43" t="s">
        <v>33</v>
      </c>
    </row>
    <row r="36" spans="1:9" ht="15.75" customHeight="1">
      <c r="A36" s="45" t="s">
        <v>24</v>
      </c>
      <c r="B36" s="60">
        <f>-24290</f>
        <v>-24290</v>
      </c>
      <c r="C36" s="60"/>
      <c r="D36" s="61"/>
      <c r="E36" s="64"/>
      <c r="F36" s="64"/>
      <c r="G36" s="61"/>
      <c r="H36" s="61"/>
      <c r="I36" s="43" t="s">
        <v>33</v>
      </c>
    </row>
    <row r="37" spans="1:9" ht="15.75" customHeight="1">
      <c r="A37" s="45" t="s">
        <v>43</v>
      </c>
      <c r="B37" s="60"/>
      <c r="C37" s="60"/>
      <c r="D37" s="61"/>
      <c r="E37" s="64">
        <v>-4300000</v>
      </c>
      <c r="F37" s="64">
        <v>-4300000</v>
      </c>
      <c r="G37" s="61">
        <v>-2500000</v>
      </c>
      <c r="H37" s="61">
        <v>0</v>
      </c>
      <c r="I37" s="43"/>
    </row>
    <row r="38" spans="1:9" ht="15.75" customHeight="1">
      <c r="A38" s="45" t="s">
        <v>25</v>
      </c>
      <c r="B38" s="60">
        <f>-2522508</f>
        <v>-2522508</v>
      </c>
      <c r="C38" s="83"/>
      <c r="D38" s="61"/>
      <c r="E38" s="64"/>
      <c r="F38" s="64"/>
      <c r="G38" s="61"/>
      <c r="H38" s="61"/>
      <c r="I38" s="43" t="s">
        <v>33</v>
      </c>
    </row>
    <row r="39" spans="1:9" ht="15.75" customHeight="1">
      <c r="A39" s="45" t="s">
        <v>26</v>
      </c>
      <c r="B39" s="60">
        <f>-965241</f>
        <v>-965241</v>
      </c>
      <c r="C39" s="83"/>
      <c r="D39" s="64"/>
      <c r="E39" s="61"/>
      <c r="F39" s="61"/>
      <c r="G39" s="61"/>
      <c r="H39" s="61"/>
      <c r="I39" s="43" t="s">
        <v>33</v>
      </c>
    </row>
    <row r="40" spans="1:9" ht="15.75" customHeight="1">
      <c r="A40" s="52"/>
      <c r="B40" s="84"/>
      <c r="C40" s="83"/>
      <c r="D40" s="64"/>
      <c r="E40" s="61"/>
      <c r="F40" s="61"/>
      <c r="G40" s="61"/>
      <c r="H40" s="61"/>
      <c r="I40" s="43" t="s">
        <v>33</v>
      </c>
    </row>
    <row r="41" spans="1:11" s="39" customFormat="1" ht="20.25" customHeight="1">
      <c r="A41" s="55" t="s">
        <v>27</v>
      </c>
      <c r="B41" s="65">
        <f aca="true" t="shared" si="4" ref="B41:H41">SUM(B31:B40)</f>
        <v>-3512039</v>
      </c>
      <c r="C41" s="85">
        <f>SUM(C31:C40)</f>
        <v>-3829533</v>
      </c>
      <c r="D41" s="86">
        <f t="shared" si="4"/>
        <v>-3829533</v>
      </c>
      <c r="E41" s="37">
        <f t="shared" si="4"/>
        <v>-9380405.266666666</v>
      </c>
      <c r="F41" s="37">
        <f t="shared" si="4"/>
        <v>-9376175.866666667</v>
      </c>
      <c r="G41" s="37">
        <f t="shared" si="4"/>
        <v>-7688619.74</v>
      </c>
      <c r="H41" s="37">
        <f t="shared" si="4"/>
        <v>-5329545.625</v>
      </c>
      <c r="I41" s="38" t="s">
        <v>33</v>
      </c>
      <c r="J41" s="66"/>
      <c r="K41" s="66"/>
    </row>
    <row r="42" spans="1:11" s="39" customFormat="1" ht="53.25" customHeight="1">
      <c r="A42" s="78" t="s">
        <v>28</v>
      </c>
      <c r="B42" s="79">
        <f>B7+B15+B24+B41</f>
        <v>14209923.52</v>
      </c>
      <c r="C42" s="80">
        <f aca="true" t="shared" si="5" ref="C42:H42">C7+C15+C24+C25+C41</f>
        <v>7267952</v>
      </c>
      <c r="D42" s="80">
        <f t="shared" si="5"/>
        <v>10456493.499999996</v>
      </c>
      <c r="E42" s="80">
        <f t="shared" si="5"/>
        <v>2822816.2333333343</v>
      </c>
      <c r="F42" s="80">
        <f t="shared" si="5"/>
        <v>2848135.8933333326</v>
      </c>
      <c r="G42" s="80">
        <f t="shared" si="5"/>
        <v>2329211.870000001</v>
      </c>
      <c r="H42" s="80">
        <f t="shared" si="5"/>
        <v>5048987.6329</v>
      </c>
      <c r="I42" s="38" t="s">
        <v>33</v>
      </c>
      <c r="J42" s="66"/>
      <c r="K42" s="66"/>
    </row>
    <row r="43" spans="1:11" s="39" customFormat="1" ht="36" customHeight="1">
      <c r="A43" s="87" t="s">
        <v>29</v>
      </c>
      <c r="B43" s="88">
        <f>-B24*0.125</f>
        <v>3481267.89125</v>
      </c>
      <c r="C43" s="89">
        <f>-C24*0.125</f>
        <v>4154438.625</v>
      </c>
      <c r="D43" s="89">
        <f>-D24*0.125</f>
        <v>4160395.8675</v>
      </c>
      <c r="E43" s="89">
        <f>-E24/8</f>
        <v>4057969.625</v>
      </c>
      <c r="F43" s="89">
        <f>-F24/8</f>
        <v>4044419.25</v>
      </c>
      <c r="G43" s="89">
        <f>-G24*0.125</f>
        <v>3749135.01125</v>
      </c>
      <c r="H43" s="89">
        <f>-H24*0.125</f>
        <v>3558924.6330375</v>
      </c>
      <c r="I43" s="38" t="s">
        <v>33</v>
      </c>
      <c r="J43" s="66"/>
      <c r="K43" s="66"/>
    </row>
    <row r="44" spans="1:8" ht="15.75">
      <c r="A44" s="90"/>
      <c r="B44" s="91"/>
      <c r="C44" s="91"/>
      <c r="D44" s="91"/>
      <c r="E44" s="91"/>
      <c r="F44" s="91"/>
      <c r="G44" s="91"/>
      <c r="H44" s="91"/>
    </row>
    <row r="45" spans="1:8" ht="15.75">
      <c r="A45" s="92" t="s">
        <v>30</v>
      </c>
      <c r="B45" s="91"/>
      <c r="C45" s="91"/>
      <c r="D45" s="91"/>
      <c r="E45" s="91"/>
      <c r="F45" s="91"/>
      <c r="G45" s="91"/>
      <c r="H45" s="91"/>
    </row>
    <row r="46" spans="1:8" ht="15.75" customHeight="1">
      <c r="A46" s="93" t="s">
        <v>31</v>
      </c>
      <c r="B46" s="94"/>
      <c r="C46" s="95"/>
      <c r="D46" s="20"/>
      <c r="E46" s="94"/>
      <c r="F46" s="94"/>
      <c r="G46" s="94"/>
      <c r="H46" s="94"/>
    </row>
    <row r="47" spans="1:8" ht="18" customHeight="1">
      <c r="A47" s="93" t="s">
        <v>34</v>
      </c>
      <c r="B47" s="93"/>
      <c r="C47" s="93"/>
      <c r="D47" s="93"/>
      <c r="E47" s="93"/>
      <c r="F47" s="93"/>
      <c r="G47" s="93"/>
      <c r="H47" s="93"/>
    </row>
    <row r="48" spans="1:6" ht="16.5">
      <c r="A48" s="93" t="s">
        <v>41</v>
      </c>
      <c r="B48" s="96"/>
      <c r="C48" s="97"/>
      <c r="D48" s="20"/>
      <c r="E48" s="94"/>
      <c r="F48" s="94"/>
    </row>
    <row r="49" spans="1:6" ht="16.5">
      <c r="A49" s="98" t="s">
        <v>35</v>
      </c>
      <c r="B49" s="99"/>
      <c r="C49" s="100"/>
      <c r="D49" s="100"/>
      <c r="E49" s="100"/>
      <c r="F49" s="100"/>
    </row>
    <row r="50" ht="15.75" customHeight="1">
      <c r="A50" s="98" t="s">
        <v>42</v>
      </c>
    </row>
    <row r="51" ht="16.5">
      <c r="A51" s="98" t="s">
        <v>44</v>
      </c>
    </row>
    <row r="52" ht="16.5">
      <c r="A52" s="104"/>
    </row>
    <row r="53" ht="16.5">
      <c r="A53" s="104"/>
    </row>
  </sheetData>
  <printOptions/>
  <pageMargins left="0.75" right="0.75" top="0.51" bottom="0.47" header="0.5" footer="0.5"/>
  <pageSetup fitToHeight="1" fitToWidth="1" horizontalDpi="600" verticalDpi="600" orientation="landscape" scale="54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Allen</dc:creator>
  <cp:keywords/>
  <dc:description/>
  <cp:lastModifiedBy>Laura Kennison</cp:lastModifiedBy>
  <cp:lastPrinted>2007-11-13T23:00:04Z</cp:lastPrinted>
  <dcterms:created xsi:type="dcterms:W3CDTF">2007-05-10T00:01:49Z</dcterms:created>
  <dcterms:modified xsi:type="dcterms:W3CDTF">2008-05-30T17:59:56Z</dcterms:modified>
  <cp:category/>
  <cp:version/>
  <cp:contentType/>
  <cp:contentStatus/>
</cp:coreProperties>
</file>