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2009" sheetId="1" r:id="rId1"/>
    <sheet name="NCOB" sheetId="2" r:id="rId2"/>
    <sheet name="Sheet3" sheetId="3" r:id="rId3"/>
  </sheets>
  <externalReferences>
    <externalReference r:id="rId6"/>
  </externalReferences>
  <definedNames>
    <definedName name="_xlnm.Print_Area" localSheetId="0">'2009'!$A$2:$J$113</definedName>
    <definedName name="_xlnm.Print_Area" localSheetId="1">'NCOB'!$A$1:$AD$71</definedName>
  </definedNames>
  <calcPr fullCalcOnLoad="1"/>
</workbook>
</file>

<file path=xl/comments1.xml><?xml version="1.0" encoding="utf-8"?>
<comments xmlns="http://schemas.openxmlformats.org/spreadsheetml/2006/main">
  <authors>
    <author>kurek</author>
    <author>A satisfied Microsoft Office user</author>
    <author>KUREK</author>
    <author>mockc</author>
    <author>Carolyn Mock</author>
  </authors>
  <commentList>
    <comment ref="J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e-mail from c., 6-10-2008
$29,344 LTL fund interest
230,000 LH managemtn fee
45,640 fin management svcs</t>
        </r>
      </text>
    </comment>
    <comment ref="C6" authorId="1">
      <text>
        <r>
          <rPr>
            <sz val="8"/>
            <rFont val="Tahoma"/>
            <family val="2"/>
          </rPr>
          <t xml:space="preserve">Carolyn Mock:
$40,264.01 rent plus $2,310 parking.
Rate increase eff. 12/15/00 to $53,118.75 plus increase to $2380 for parking = $55498.75
Eff. 5/1/01 added 7 parking stalls, total 21 @ $170 ea.  = $3,570/mo., total payment = $56,688.75/mo.
Rate change eff. 12/15/05 to $47,807 plus parking = $51,377.00
</t>
        </r>
        <r>
          <rPr>
            <sz val="8"/>
            <color indexed="10"/>
            <rFont val="Tahoma"/>
            <family val="2"/>
          </rPr>
          <t xml:space="preserve">Space shifts between Blanchard &amp; Boren in July/August.
</t>
        </r>
        <r>
          <rPr>
            <sz val="8"/>
            <rFont val="Tahoma"/>
            <family val="2"/>
          </rPr>
          <t xml:space="preserve">
Eff. 1/1/2008:  TI amortization=$954.37/mo.
rent=$47,807
parking=$3,570
total=$52,331.37
Eff. 12/15/08 
rent=53,544.00
TI = $954.37
parking = $3,570
Total = $58,068.37
Rate change eff. 12/15/08 to $53,544.00 thru 12/14/10</t>
        </r>
      </text>
    </comment>
    <comment ref="F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12/15/05 - 12/14/08 - 22.50 psf (47,807 per mnth)
eff 1.1.08 - 954.37 per month TI payment.
12/15/08 - 12/14/10 - 25.20 (53,544 per mnth)
</t>
        </r>
      </text>
    </comment>
    <comment ref="G6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for 2004 reconcilation and 2005 estimate.
6/05 - 2005 new base yearfor new lease but still need to pay actuall 2005 under old lease and the est for 2006.
</t>
        </r>
        <r>
          <rPr>
            <sz val="10"/>
            <color indexed="10"/>
            <rFont val="Tahoma"/>
            <family val="2"/>
          </rPr>
          <t xml:space="preserve">new lease, new base year 2005. No op cost charges as of 7/14/06 for 2005. $5,000 placeholder 
</t>
        </r>
        <r>
          <rPr>
            <sz val="10"/>
            <color indexed="57"/>
            <rFont val="Tahoma"/>
            <family val="2"/>
          </rPr>
          <t>actual op exp in 2006 below base yr of 2005 so nothing due in 2007. budgeted 3000 for 2008 as a cushion.</t>
        </r>
      </text>
    </comment>
    <comment ref="H6" authorId="2">
      <text>
        <r>
          <rPr>
            <b/>
            <sz val="8"/>
            <rFont val="Tahoma"/>
            <family val="2"/>
          </rPr>
          <t xml:space="preserve">Parking 21 @ 170ea/mo for 2003, est increase to 200 ea for 2004 </t>
        </r>
        <r>
          <rPr>
            <b/>
            <sz val="8"/>
            <color indexed="48"/>
            <rFont val="Tahoma"/>
            <family val="2"/>
          </rPr>
          <t>same est for 2005
Parking 2006 3,570 per month - 21 stalls @ 170.00 each</t>
        </r>
      </text>
    </comment>
    <comment ref="C7" authorId="1">
      <text>
        <r>
          <rPr>
            <sz val="8"/>
            <rFont val="Tahoma"/>
            <family val="2"/>
          </rPr>
          <t>Carolyn Mock:
New lease eff. 3/15/04,
Suite 2450=11,570 s.f.
Suite 1800= 5,694 s.f.
Suite 2300= 20,852 s.f.
Suite 5959= 8,820 s.f. total = 46,936 s.f. @ $24=$93,872.00/mo.
Eff. 3/15/05 @$25.00 = $97,783.33/mo.
Est. op costs effective 1/1/05:
Suite 2450=$395.31/mo.
suite 1800=$194.55/mo.
Suite 2300=$712.44/mo.
Suite 5959=$301.35/mo.
Total op costs=$1603.65/mo., total rent &amp; op costs=$99,386.98/mo.
Est. Op costs eff. 1/1/06:
Suite 2450=$680.90
Suite 1800=$335.09
Suite 2300=$1227.14
Suite 5959=$483.75, Total op = $2726.88/mo.
Total Rent &amp; Op = $100,510.21
Eff. 3/15/06 thru 3/31/07 @ $26.00 = $101,694.67/mo. plus operating $2726.88/mo., total=$104,421.55.
Eff. 1/1/07 total operating costs = $797.00/mo. plus $101,694.67 = $102,491.67
Eff. 4/1/07 Base rent = $152,542.00/mo. plus $797/mo. op costs = $153,339.00/mo.
Eff. 7/1/07 - pay only for floor 24 @ $37,602.50/mo. plus $198 operating=$37,800.50
Eff. 1/1/08 CAM=$339, total=$37,941.50</t>
        </r>
      </text>
    </comment>
    <comment ref="D7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gave notice to terminated 3/14/07  - original termination date 3/14/09</t>
        </r>
      </text>
    </comment>
    <comment ref="E7" authorId="2">
      <text>
        <r>
          <rPr>
            <sz val="10"/>
            <rFont val="Tahoma"/>
            <family val="2"/>
          </rPr>
          <t>floor 18 - 5694 sq ft
floor 23 - 20,852 sq ft
floor 24 - 11,570 sq ft
floor 59 - 8820 sq ft
effectvie 6/30/07 only floor 24 remains</t>
        </r>
      </text>
    </comment>
    <comment ref="F7" authorId="2">
      <text>
        <r>
          <rPr>
            <sz val="10"/>
            <rFont val="Tahoma"/>
            <family val="2"/>
          </rPr>
          <t xml:space="preserve">new lease begins 3/15/04 at new rate of 24.00 psf
</t>
        </r>
        <r>
          <rPr>
            <sz val="10"/>
            <color indexed="10"/>
            <rFont val="Tahoma"/>
            <family val="2"/>
          </rPr>
          <t>2007 - see est 2007 ncob tenants sheet
effect 3/14 on holdover and paying 1.5 times or 39.00 psf</t>
        </r>
      </text>
    </comment>
    <comment ref="G7" authorId="2">
      <text>
        <r>
          <rPr>
            <b/>
            <sz val="10"/>
            <rFont val="Tahoma"/>
            <family val="2"/>
          </rPr>
          <t xml:space="preserve">2004 new base year no op costs
</t>
        </r>
        <r>
          <rPr>
            <b/>
            <sz val="10"/>
            <color indexed="12"/>
            <rFont val="Tahoma"/>
            <family val="2"/>
          </rPr>
          <t xml:space="preserve">estimate op costs @ .35 per sq ft for first year, no information to go on.
</t>
        </r>
        <r>
          <rPr>
            <b/>
            <sz val="10"/>
            <color indexed="10"/>
            <rFont val="Tahoma"/>
            <family val="2"/>
          </rPr>
          <t xml:space="preserve">Used .42 psf based on 2005 estimate and status of op budget per LL at time of psq
2009 - SEE KEY TOWER RATE SHEET
</t>
        </r>
      </text>
    </comment>
    <comment ref="L7" authorId="2">
      <text>
        <r>
          <rPr>
            <sz val="10"/>
            <rFont val="Tahoma"/>
            <family val="2"/>
          </rPr>
          <t xml:space="preserve">new lease begins 3/15/04 at new rate of 24.00 psf
</t>
        </r>
        <r>
          <rPr>
            <sz val="10"/>
            <color indexed="10"/>
            <rFont val="Tahoma"/>
            <family val="2"/>
          </rPr>
          <t>2007 - see est 2007 ncob tenants sheet</t>
        </r>
      </text>
    </comment>
    <comment ref="M7" authorId="2">
      <text>
        <r>
          <rPr>
            <sz val="10"/>
            <rFont val="Tahoma"/>
            <family val="2"/>
          </rPr>
          <t xml:space="preserve">new lease begins 3/15/04 at new rate of 24.00 psf
</t>
        </r>
        <r>
          <rPr>
            <sz val="10"/>
            <color indexed="10"/>
            <rFont val="Tahoma"/>
            <family val="2"/>
          </rPr>
          <t>2007 - see est 2007 ncob tenants sheet</t>
        </r>
      </text>
    </comment>
    <comment ref="D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est. renewal termination date</t>
        </r>
      </text>
    </comment>
    <comment ref="F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renewal rate $26.00 psf for 5 yrs  fully services per letter from LL 5/19/06</t>
        </r>
      </text>
    </comment>
    <comment ref="H2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parking revenue</t>
        </r>
      </text>
    </comment>
    <comment ref="L20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required base rent 
</t>
        </r>
      </text>
    </comment>
    <comment ref="O2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transfer to svgs org</t>
        </r>
      </text>
    </comment>
    <comment ref="C21" authorId="1">
      <text>
        <r>
          <rPr>
            <sz val="8"/>
            <rFont val="Tahoma"/>
            <family val="2"/>
          </rPr>
          <t>$605.00 plus 2.9% = $623 in 1997
$623.00 plus 3.7% = $646 in 1998
$646.00 plus 2.5% = $662.20 in 1999
Adjusted for CPI
Eff. 1/1/00 = 682.06
Eff. 1/1/01 = $705.93 each = $1411.86
Eff. 1/1/02=$733.46 each = $1466.92
Eff. 1/1/03=$744.75 each=$1,489.50
Eff. 1/1/04 = $751.46 each=$1502.92
Eff. 1/1/05 = $763.37 each=$1526.74
Eff. 1/1/06 = $780.93 each=$1,561.86
Eff. 1/1/07 = $816.85 each=$1,633.70
Eff. 1/1/08 = $843.81 each=$1,687.62/mo.</t>
        </r>
      </text>
    </comment>
    <comment ref="F21" authorId="2">
      <text>
        <r>
          <rPr>
            <b/>
            <sz val="10"/>
            <rFont val="Tahoma"/>
            <family val="2"/>
          </rPr>
          <t>est see CPI increase</t>
        </r>
      </text>
    </comment>
    <comment ref="C22" authorId="1">
      <text>
        <r>
          <rPr>
            <sz val="8"/>
            <rFont val="Tahoma"/>
            <family val="2"/>
          </rPr>
          <t>Eff. 6/15/04
Base=$5,815.50
TI=$898.85
NNN=$2286.98
Total=$9001.33
Eff. 6/15/05
Base=$5,949.26
TI=898.85
NNN=$2286.98
Total=$9135.09
Eff. 6/15/06
Base=$6,126.64
TI=$898.85
NNN=$2286.98
Total=$9,312.47
Error in rate increase calculation for 2006. Eff. 1/1/07 Base = $6,199.37, TI=$898.85, NNN=$2286.98, Total=$9,385.20
Eff. 6/15/07 CPI Increase:  Base=$6,417.03, TI=$898.85, NNN=$2286.98, Total=$9,602.86/mo.
Eff. 11/1/07 add'l 602 s.f.
Rent= $7,420.36
TI=$898.85
NNN=$2587.98
Total=$10,907.19
TI payment terminates 6/15/08.</t>
        </r>
      </text>
    </comment>
    <comment ref="D2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assuming renew</t>
        </r>
      </text>
    </comment>
    <comment ref="E22" authorId="2">
      <text>
        <r>
          <rPr>
            <b/>
            <sz val="10"/>
            <rFont val="Tahoma"/>
            <family val="2"/>
          </rPr>
          <t>increase sq ft in new agreement from 2814 to 4391
added 602 sq ft in 2007</t>
        </r>
      </text>
    </comment>
    <comment ref="F22" authorId="2">
      <text>
        <r>
          <rPr>
            <b/>
            <sz val="10"/>
            <rFont val="Tahoma"/>
            <family val="2"/>
          </rPr>
          <t xml:space="preserve">Draft amendement 6/03 renewal rate is 15.60 psf  with annual CPI increases
</t>
        </r>
        <r>
          <rPr>
            <b/>
            <sz val="10"/>
            <color indexed="10"/>
            <rFont val="Tahoma"/>
            <family val="2"/>
          </rPr>
          <t xml:space="preserve">2004 base rate increase 1.88% to 15.893 psf
As of 7-10-05 noe new cpi increase
As of 7/3/06 no CPI info, 2006 rate with CPI was 5949.26 ($16.2585 psf), est 3% increase for last 1/2 of 2006 with cpi sheet increase for last 1/2 of 2007.
</t>
        </r>
        <r>
          <rPr>
            <b/>
            <sz val="10"/>
            <color indexed="12"/>
            <rFont val="Tahoma"/>
            <family val="2"/>
          </rPr>
          <t xml:space="preserve">new lease - 2008 are est only lease not signed as of 7-15-07
</t>
        </r>
        <r>
          <rPr>
            <b/>
            <sz val="10"/>
            <color indexed="20"/>
            <rFont val="Tahoma"/>
            <family val="2"/>
          </rPr>
          <t>7-08 no renewal yet, estimate based on LL's first proposal. LL had a higher square footage, don't know if he recalculated BOMA?</t>
        </r>
      </text>
    </comment>
    <comment ref="G22" authorId="2">
      <text>
        <r>
          <rPr>
            <sz val="8"/>
            <rFont val="Tahoma"/>
            <family val="2"/>
          </rPr>
          <t xml:space="preserve">est prepaid op costs @4.5 for entire year with 8500 for 2002 reconciliation </t>
        </r>
        <r>
          <rPr>
            <sz val="8"/>
            <color indexed="10"/>
            <rFont val="Tahoma"/>
            <family val="2"/>
          </rPr>
          <t xml:space="preserve">NEW nnn EXPENSES AT $6.25 PSF FOR pao SPACE 2002 OP COSTS FOR THIS SPACE WERE $7.84PSF EST $8.65 (10% INCREASE) FOR RECONCILIATION </t>
        </r>
        <r>
          <rPr>
            <sz val="8"/>
            <color indexed="48"/>
            <rFont val="Tahoma"/>
            <family val="2"/>
          </rPr>
          <t xml:space="preserve">est 10,000 for reconciliation, paid 8400 in 2004
</t>
        </r>
        <r>
          <rPr>
            <sz val="8"/>
            <color indexed="10"/>
            <rFont val="Tahoma"/>
            <family val="2"/>
          </rPr>
          <t xml:space="preserve">paid additional 11,235 in 2005 for 2004
paid additional $13,464 in 2006 for 2005
</t>
        </r>
        <r>
          <rPr>
            <sz val="8"/>
            <color indexed="12"/>
            <rFont val="Tahoma"/>
            <family val="2"/>
          </rPr>
          <t xml:space="preserve">est $16,000 for 2006 reconciliation in 2007
</t>
        </r>
        <r>
          <rPr>
            <sz val="8"/>
            <color indexed="11"/>
            <rFont val="Tahoma"/>
            <family val="2"/>
          </rPr>
          <t xml:space="preserve">new lease, not signed as of 7-15-07
</t>
        </r>
        <r>
          <rPr>
            <sz val="8"/>
            <color indexed="10"/>
            <rFont val="Tahoma"/>
            <family val="2"/>
          </rPr>
          <t>7-08 little info on operating costs. est based on the 6.00 proposed plus prior year reconciliation with a 5% increase. Don't have costs for the entire building so it is difficult to estimate
6.00 psaft + ($37,102 prior year PAO costs * 5% increase)/4391 sq ft (LL's square footage) = 8.87psqft - 6.00 psqft = 2.27 * 4391 = $12, 611 for est reconciliation</t>
        </r>
      </text>
    </comment>
    <comment ref="H22" authorId="2">
      <text>
        <r>
          <rPr>
            <b/>
            <sz val="8"/>
            <rFont val="Tahoma"/>
            <family val="2"/>
          </rPr>
          <t>amortized t.I.'s @1.78 psf for old sq 2177 for 5.5 months. No t.I's at renewal</t>
        </r>
        <r>
          <rPr>
            <b/>
            <sz val="8"/>
            <color indexed="10"/>
            <rFont val="Tahoma"/>
            <family val="2"/>
          </rPr>
          <t xml:space="preserve">
AMORTIZATION OF NEW Ti'S AS OF 6/17/03 STILL AWAITING EST FROM PAO using $5000 as a place holder</t>
        </r>
        <r>
          <rPr>
            <b/>
            <sz val="8"/>
            <color indexed="12"/>
            <rFont val="Tahoma"/>
            <family val="2"/>
          </rPr>
          <t xml:space="preserve">
recv'd amort TI amount 9/5/03 at 898.85 per month or 10,786.20 annually.</t>
        </r>
      </text>
    </comment>
    <comment ref="F2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rent increase by CPI every july.</t>
        </r>
      </text>
    </comment>
    <comment ref="H24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bank fees</t>
        </r>
      </text>
    </comment>
    <comment ref="C25" authorId="1">
      <text>
        <r>
          <rPr>
            <sz val="8"/>
            <rFont val="Tahoma"/>
            <family val="2"/>
          </rPr>
          <t>Rate increase to $13,088.67 + $50.11 = $13,138.78/mo. effective 3/1/97.
Rate increase to $15,112.75/mo. eff. 7/1/99.
Increase to $18,578.75/mo. eff. 9/15/99.  Parking lot unfinished so receive credit of $556.25/mo. = $18,022.50/mo. until completed.
Eff. 7/1/00, parking lot completed, rent = $18578.75 plus $130 = $18708.75
Eff. 9/15/02, rent increase to $19,691.25/month plus $130 = $19,821.25/mo.
Eff. 9/15/03, rent increase to $20,247.50 plus $130 =$20,377.50/mo.
Expires 9/14/04.
Eff. 1/1/05 = $20,970.63/mo.
Eff. 1/1/06=$21,582.50/mo.
1/1/07 = $22,194.38
Eff. 5/1/07 = $24,381.38 (added space)
1/1/08 = $25,059.38
'1/1/09 = $25,738.85</t>
        </r>
      </text>
    </comment>
    <comment ref="E2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13350 sq ft
added 1250 sq ft 5/1/2007</t>
        </r>
      </text>
    </comment>
    <comment ref="H25" authorId="2">
      <text>
        <r>
          <rPr>
            <sz val="10"/>
            <rFont val="Tahoma"/>
            <family val="2"/>
          </rPr>
          <t xml:space="preserve">est remainder of year @ 5% increase per mark, 6-03.
</t>
        </r>
        <r>
          <rPr>
            <sz val="10"/>
            <color indexed="48"/>
            <rFont val="Tahoma"/>
            <family val="2"/>
          </rPr>
          <t xml:space="preserve">based on letter of intent 6/10/2004
base rent inclusive of parking
</t>
        </r>
        <r>
          <rPr>
            <sz val="10"/>
            <color indexed="12"/>
            <rFont val="Tahoma"/>
            <family val="2"/>
          </rPr>
          <t xml:space="preserve">2006 paid 4581.80 for property taxes. (that's new?) est 6500 for 2007 property taxes.
</t>
        </r>
        <r>
          <rPr>
            <sz val="10"/>
            <color indexed="57"/>
            <rFont val="Tahoma"/>
            <family val="2"/>
          </rPr>
          <t xml:space="preserve">2007 paid $3,085.51 for property tax reconciliation - budget 4,000 for 2008
</t>
        </r>
        <r>
          <rPr>
            <sz val="10"/>
            <color indexed="10"/>
            <rFont val="Tahoma"/>
            <family val="2"/>
          </rPr>
          <t>Paid 5,835.02 in property taxes for 2007</t>
        </r>
      </text>
    </comment>
    <comment ref="C26" authorId="1">
      <text>
        <r>
          <rPr>
            <sz val="8"/>
            <rFont val="Tahoma"/>
            <family val="2"/>
          </rPr>
          <t xml:space="preserve">
Moorage Revision 7/1/06
Base=$1954.34
CAM=$20
Moorage=$495
Moorage=$495
Storage=$255
Parking=$435.20
Total=$3,654.54
New op costs eff. 1/1/07 = $69:  Office=$2,023.34, Total=$3,703.54
Moorage increase eff. 3/1/07:
Base=1954.34
CAM=$69
Moorage=$515
Moorage=$515
Storage=$255
Parking=$435.60
Total=$3743.94
Eff. 10/1/07 parking rate increase:
Parking = $544.50
Total = $3,852.84
New Op costs eff. 1/1/08:
Base=$1954.34
CAM= $124
Moorage=$515
Moorage=$515
Storage=$255
Parking=$544.50
Total=$3907.84
Eff. 3/1/08:
increased moorage to $541 each.
Base=$1954.34
CAM=$124
Parking=$545
Moorag=$541 ea.
storage=$255
Total=$3,960.34
</t>
        </r>
      </text>
    </comment>
    <comment ref="F26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for 2005 - </t>
        </r>
        <r>
          <rPr>
            <sz val="10"/>
            <color indexed="48"/>
            <rFont val="Tahoma"/>
            <family val="2"/>
          </rPr>
          <t xml:space="preserve">est renewal at 25.00 psf
for 2006 - renewed @ 22.00
2007 paying
1954.34 base
$22.00 psf est renew @ 24.00
</t>
        </r>
        <r>
          <rPr>
            <sz val="10"/>
            <color indexed="10"/>
            <rFont val="Tahoma"/>
            <family val="2"/>
          </rPr>
          <t>renewed - base $22.00 psqft for office space</t>
        </r>
      </text>
    </comment>
    <comment ref="G26" authorId="2">
      <text>
        <r>
          <rPr>
            <sz val="10"/>
            <rFont val="Tahoma"/>
            <family val="2"/>
          </rPr>
          <t xml:space="preserve">pay monthly est for current years op costs, recon following year. 2003 paying $68 per month, est 10% increase for 2004
</t>
        </r>
        <r>
          <rPr>
            <sz val="10"/>
            <color indexed="48"/>
            <rFont val="Tahoma"/>
            <family val="2"/>
          </rPr>
          <t xml:space="preserve">exp stop is 10.08, LL est 2004 expenses at 10.05. Est 2005 exp at 10.25 with 5% increases for renewal
</t>
        </r>
        <r>
          <rPr>
            <sz val="10"/>
            <color indexed="10"/>
            <rFont val="Tahoma"/>
            <family val="2"/>
          </rPr>
          <t xml:space="preserve">exp stop 10.08, 12/2/04 LL est exps for 2005 @ 10.11. Est 2006 exp @ 10.25
</t>
        </r>
        <r>
          <rPr>
            <sz val="10"/>
            <color indexed="12"/>
            <rFont val="Tahoma"/>
            <family val="2"/>
          </rPr>
          <t xml:space="preserve">2006 CAM is 20.00 per month,reconciliation was 0.0 for 2005. est 2007 25.00 per month
</t>
        </r>
        <r>
          <rPr>
            <sz val="10"/>
            <color indexed="57"/>
            <rFont val="Tahoma"/>
            <family val="2"/>
          </rPr>
          <t xml:space="preserve">2007 cam 69.00 per month
est 2008 @ 75.00
</t>
        </r>
        <r>
          <rPr>
            <sz val="10"/>
            <color indexed="20"/>
            <rFont val="Tahoma"/>
            <family val="2"/>
          </rPr>
          <t>2008 paying $124 per month - significant increase over prior years. 2007 reconcialiation - 2007 expenses less exp stop (year 2002) = 996.19 (83 per mo). Left 2009 est at what paying in 2008 - $124.00 per month</t>
        </r>
      </text>
    </comment>
    <comment ref="H26" authorId="2">
      <text>
        <r>
          <rPr>
            <b/>
            <sz val="10"/>
            <rFont val="Tahoma"/>
            <family val="2"/>
          </rPr>
          <t xml:space="preserve">As of 6/03 have not had any increases for moorage, storage or parking in 2003. Est a 10% increase overall for all 3;
435.20 parking
255.00 storage
380.00 moorage
460.00 moorage
</t>
        </r>
        <r>
          <rPr>
            <b/>
            <sz val="10"/>
            <color indexed="10"/>
            <rFont val="Tahoma"/>
            <family val="2"/>
          </rPr>
          <t xml:space="preserve">renewal - 4/1/05
moorage - 475 &amp; 390
storage 255
parking 435.20 est 25.00 per month increase for both moorages effective 4/1/06, storage same and parking
</t>
        </r>
        <r>
          <rPr>
            <b/>
            <sz val="10"/>
            <rFont val="Tahoma"/>
            <family val="2"/>
          </rPr>
          <t xml:space="preserve">eff 4/1/06 moorage rates $406 &amp; $495. est 4/1/07 rate $420 and $510. parking and storage same
</t>
        </r>
        <r>
          <rPr>
            <b/>
            <sz val="10"/>
            <color indexed="57"/>
            <rFont val="Tahoma"/>
            <family val="2"/>
          </rPr>
          <t xml:space="preserve">2007 rates
moorage 515
moorage 515
parking 435.60
storage 255
est for 2008
storage 255.00
parking 460.00
moorage 550.00
moorage 550.00
</t>
        </r>
        <r>
          <rPr>
            <b/>
            <sz val="10"/>
            <color indexed="20"/>
            <rFont val="Tahoma"/>
            <family val="2"/>
          </rPr>
          <t>est for 2009
storage $255
morage $541*1.05 increase per slip
Parking 545.00 per month</t>
        </r>
      </text>
    </comment>
    <comment ref="C27" authorId="1">
      <text>
        <r>
          <rPr>
            <sz val="8"/>
            <rFont val="Tahoma"/>
            <family val="2"/>
          </rPr>
          <t>MOCKC:
Increase from $1320/mo. To $1345.08/mo. Effective 1/1/03.
Increase to $1366.60/mo. effective back to 1/1/04.
Increase to $1383/mo. eff. 1/1/05.
Increase to $1422/mo. Eff. 1/1/06.
Increase to $1473.00 eff. 1/1/07
Eff. 1/1/08 increase to $1,530.45</t>
        </r>
      </text>
    </comment>
    <comment ref="C28" authorId="1">
      <text>
        <r>
          <rPr>
            <sz val="8"/>
            <rFont val="Tahoma"/>
            <family val="2"/>
          </rPr>
          <t xml:space="preserve">
Increase to $4921.50 eff. 10/1/02-9/30/05.
Eff. 10/1/05: Change to $4,776.75/mo.
Eff. 10/1/06 $4,921.50/mo.
Eff. 10/1/07 - 9/30/09 = $5066.25/mo.
Eff. 10/1/09= $5,355.75</t>
        </r>
      </text>
    </comment>
    <comment ref="D28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may renew for 5 years or may move
renewed for 5 more years</t>
        </r>
      </text>
    </comment>
    <comment ref="F28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renewal rate quoted 6/18/04. SUPCT may decided to move to the WT lease which is more expensive
</t>
        </r>
        <r>
          <rPr>
            <sz val="10"/>
            <color indexed="10"/>
            <rFont val="Tahoma"/>
            <family val="2"/>
          </rPr>
          <t>renewed for 5 years
10/1/05 - 16.50 psf
10/1/06 - 17.00
10/1/07 - 17.50
10/1/08 - 17.50(check with LL is this an error?
10/1/09 - 18.50
per mark, 7/8/05 rate schedule is correct</t>
        </r>
      </text>
    </comment>
    <comment ref="C29" authorId="1">
      <text>
        <r>
          <rPr>
            <sz val="8"/>
            <rFont val="Tahoma"/>
            <family val="2"/>
          </rPr>
          <t xml:space="preserve">
Eff. 1/1/04 increase to 1,188 s.f. @ $24/s.f. = $2,376.00
</t>
        </r>
      </text>
    </comment>
    <comment ref="D29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still attempting to renew as of 7-11-05
still attempting to renew as of 7-07</t>
        </r>
      </text>
    </comment>
    <comment ref="E29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sq ft at new location</t>
        </r>
        <r>
          <rPr>
            <sz val="10"/>
            <color indexed="48"/>
            <rFont val="Tahoma"/>
            <family val="2"/>
          </rPr>
          <t xml:space="preserve">changed plans did not move. Back to old sq ft of 1188 </t>
        </r>
      </text>
    </comment>
    <comment ref="F29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lease under negotiations this is just a placeholder amount
7/3/06 still no renewal in place and still paying old rate of $24.00 psf. May be looking into relocating. $26.00 psf is a placeholder amount
</t>
        </r>
        <r>
          <rPr>
            <sz val="10"/>
            <color indexed="10"/>
            <rFont val="Tahoma"/>
            <family val="2"/>
          </rPr>
          <t xml:space="preserve">7/2/07 status quo still placeholding in case of higher rate
</t>
        </r>
        <r>
          <rPr>
            <sz val="10"/>
            <color indexed="61"/>
            <rFont val="Tahoma"/>
            <family val="2"/>
          </rPr>
          <t>7-9-2008 - no new info, kept current rate 2376 per month</t>
        </r>
      </text>
    </comment>
    <comment ref="C30" authorId="1">
      <text>
        <r>
          <rPr>
            <sz val="8"/>
            <rFont val="Tahoma"/>
            <family val="2"/>
          </rPr>
          <t>MOCKC:
$2,506.50
Increase eff. 1/1/02 to $2,785.00/mo. plus $220.41 for utilities= $3,005.41.
Eff. 8/1/03 utilities increase to $360.66/mo. Total = $3,145.66
Eff. 1/1/04 = 2,854.63
Eff 2/1/05, new CAM=$340.91/mo., total = $3,195.54/mo.
Eff. 1/1/06 = $2,924.25, CAM=$405.82, Total=$3,330.07  
Eff. 1/1/07 = $3262.81, CAM=$405.82, Total=3668.63
Eff. 1/1/07 CAM = $459.73, total=$3722.54
Eff. 1/1/08
Rent=$3424.65
CAM=$475.41
Total=$3900.06
Eff. 1/1/09
Rent=$3,596.60
Eff. 1/1/10
Rent=$3,775.78
Eff. 1/1/11
Rent=$3,965.08</t>
        </r>
      </text>
    </comment>
    <comment ref="D3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planning to renew at same location
no signed agreemnt but this is the amendment</t>
        </r>
      </text>
    </comment>
    <comment ref="F3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renewal estimate @ 23.00 psf
</t>
        </r>
      </text>
    </comment>
    <comment ref="G30" authorId="2">
      <text>
        <r>
          <rPr>
            <sz val="8"/>
            <rFont val="Tahoma"/>
            <family val="2"/>
          </rPr>
          <t>charge for op costs on new agreement. In 2002 paying 220.41 per month with 2002 reconcilation due in feb 03. 7/02 LL est 2002 act is 383/mo. Est 2002 recon to be $1,980 and 2003 pay 385/mo for est.</t>
        </r>
        <r>
          <rPr>
            <sz val="8"/>
            <color indexed="10"/>
            <rFont val="Tahoma"/>
            <family val="2"/>
          </rPr>
          <t>Did not receive 2002 recon until requested, owner did not require payment.  est $1000 for 2003 reconciliation and 10% increase for 2004 estimated monthly prepay</t>
        </r>
        <r>
          <rPr>
            <sz val="8"/>
            <color indexed="48"/>
            <rFont val="Tahoma"/>
            <family val="2"/>
          </rPr>
          <t xml:space="preserve"> As of 6-28-04 have not recv'd  203 reconciliation. still paying 2003 estimate of 360.66 per month. Assume there will be an increase soon.
</t>
        </r>
        <r>
          <rPr>
            <sz val="8"/>
            <color indexed="57"/>
            <rFont val="Tahoma"/>
            <family val="2"/>
          </rPr>
          <t xml:space="preserve">what was received for 2005 does not provide enough info to do a propoer estimate.
</t>
        </r>
        <r>
          <rPr>
            <sz val="8"/>
            <color indexed="10"/>
            <rFont val="Tahoma"/>
            <family val="2"/>
          </rPr>
          <t xml:space="preserve">2006 paying 405.82 per month operating
est renewal with $400 per month for CAM
</t>
        </r>
        <r>
          <rPr>
            <sz val="8"/>
            <color indexed="57"/>
            <rFont val="Tahoma"/>
            <family val="2"/>
          </rPr>
          <t xml:space="preserve">2007 cam is 459.73 per month
est 2008 at 475.00 per month
</t>
        </r>
        <r>
          <rPr>
            <sz val="8"/>
            <color indexed="61"/>
            <rFont val="Tahoma"/>
            <family val="2"/>
          </rPr>
          <t>2008 cam - 475.41 per month
est 2009 500 per month - 5% increase</t>
        </r>
      </text>
    </comment>
    <comment ref="C31" authorId="1">
      <text>
        <r>
          <rPr>
            <sz val="8"/>
            <rFont val="Tahoma"/>
            <family val="2"/>
          </rPr>
          <t>Base rent = $857.00
1999 = $913.00
Eff. 1/1/00 = 942.00
Eff. 1/1/02 = $972.00
Eff. 1/1/03 rate reduction to $600.00/mo.
Eff. 1/1/06 rate increase  to $1,000.00/mo.</t>
        </r>
      </text>
    </comment>
    <comment ref="D31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on holdover</t>
        </r>
      </text>
    </comment>
    <comment ref="F31" authorId="2">
      <text>
        <r>
          <rPr>
            <b/>
            <sz val="10"/>
            <rFont val="Tahoma"/>
            <family val="2"/>
          </rPr>
          <t>rent reduced in 2003 to $600 per month</t>
        </r>
        <r>
          <rPr>
            <b/>
            <sz val="10"/>
            <color indexed="57"/>
            <rFont val="Tahoma"/>
            <family val="2"/>
          </rPr>
          <t xml:space="preserve"> still no change as of 7-15-05
1/1/06 - new rate $1,000 per month. No warning in file. Est 1050 per month 2007
</t>
        </r>
        <r>
          <rPr>
            <b/>
            <sz val="10"/>
            <color indexed="14"/>
            <rFont val="Tahoma"/>
            <family val="2"/>
          </rPr>
          <t xml:space="preserve">est for 2008 1200 per month
</t>
        </r>
        <r>
          <rPr>
            <b/>
            <sz val="10"/>
            <color indexed="61"/>
            <rFont val="Tahoma"/>
            <family val="2"/>
          </rPr>
          <t>7-2008 still no change, kept same ets for 2009</t>
        </r>
      </text>
    </comment>
    <comment ref="C32" authorId="1">
      <text>
        <r>
          <rPr>
            <sz val="8"/>
            <rFont val="Tahoma"/>
            <family val="2"/>
          </rPr>
          <t>$605.00 plus 2.9% = $623 in 1997
$623.00 plus 3.7% = $646 in 1998
$646.00 plus 2.5% = $662.20 in 1999
Adjusted for CPI
Eff. 1/1/00 = 682.06
Eff. 1/1/01 = $705.93 each = $1411.86
Eff. 1/1/02=$733.46 each = $1466.92
Eff. 1/1/03=$744.75 each=$1,489.50
Eff. 1/1/04 = $751.46 each=$1502.92
Eff. 1/1/05 = $763.37 each=$1526.74
Eff. 1/1/06 = $780.93 each=$1,561.86
Eff. 1/1/07 = $816.85 each=$1,633.70
Eff. 1/1/08 = $843.81 each=$1,687.62/mo.</t>
        </r>
      </text>
    </comment>
    <comment ref="F32" authorId="2">
      <text>
        <r>
          <rPr>
            <b/>
            <sz val="10"/>
            <rFont val="Tahoma"/>
            <family val="2"/>
          </rPr>
          <t>est see CPI page increase</t>
        </r>
      </text>
    </comment>
    <comment ref="C33" authorId="1">
      <text>
        <r>
          <rPr>
            <sz val="8"/>
            <rFont val="Tahoma"/>
            <family val="2"/>
          </rPr>
          <t>Rate increase eff. 6/1/99 from $4563 to $4713.60
Eff. 6/1/00 increase to $4,863.60
Eff. 6/1/01 increase to $5,976.00
eff. 6/1/02 increase by 5% to $6,274.80
Eff. 6/1/03 increase by 5% to $6,588.54.
Eff. 6/1/04 increase to $6,917.97/mo.
Eff. 6/1/05 increase to $7263.87
 (5% increase each 6/1)
Eff. 6/1/06 increase to $7,481.78
Eff. 6/1/07 increase to $7,631.42</t>
        </r>
      </text>
    </comment>
    <comment ref="D3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renewal term</t>
        </r>
      </text>
    </comment>
    <comment ref="F33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5 % increase if renew 6/1/2006
new rates eff 6/1/06 $7481.78, eff 6/1/07 - 7631.42
assume renew for 2 years with 3% annual increases
</t>
        </r>
        <r>
          <rPr>
            <sz val="10"/>
            <color indexed="10"/>
            <rFont val="Tahoma"/>
            <family val="2"/>
          </rPr>
          <t>7-2008 - est renew for 5 years. Effect 6/08 rate to be 8012.99 per month with 5% annual increase each june</t>
        </r>
      </text>
    </comment>
    <comment ref="C34" authorId="1">
      <text>
        <r>
          <rPr>
            <sz val="8"/>
            <rFont val="Tahoma"/>
            <family val="2"/>
          </rPr>
          <t>Carolyn Mock:
$3350.00/mo.
Eff. 7/1/00 increase to $3,685.00/mo. Through 6/30/03.
Eff. 7/1/03 increase to $3,740.00/mo.
Eff. 1/1/04 increase to $3978.
Eff. 1/1/05 increase by CPI to $4061.54/mo.
Eff. 1/1/06 increase by CPI to $4,183.39.
Eff. 1/1/07 = $4,475.00
Eff. 1/1/08 = $4,680.85</t>
        </r>
      </text>
    </comment>
    <comment ref="F34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rent to increase 1/1/05 by CPI but not less than 2% and not more than 5%
</t>
        </r>
        <r>
          <rPr>
            <sz val="10"/>
            <color indexed="10"/>
            <rFont val="Tahoma"/>
            <family val="2"/>
          </rPr>
          <t xml:space="preserve">7/6/06 negotiating renewal terms for a 5 year renewal. Extension terms as of this date 4475 per month first year then CPI increases for each year thereafter, min 2% max 5%.
</t>
        </r>
      </text>
    </comment>
    <comment ref="C35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CPI Adjustment each 2/1.</t>
        </r>
        <r>
          <rPr>
            <sz val="8"/>
            <rFont val="Tahoma"/>
            <family val="2"/>
          </rPr>
          <t xml:space="preserve">
eff 2/1/03 rent=20,189.00
Eff 2/1/04 rent=$20,569.00
eff 2/1/05 rent=$21,248.00
Eff 2/1/06
rent=$21,970.00
Eff. 2/1/07 rent=$22,528
Eff. 2/1/08 rent=$23,451.65</t>
        </r>
      </text>
    </comment>
    <comment ref="D3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plan to renew</t>
        </r>
      </text>
    </comment>
    <comment ref="F35" authorId="2">
      <text>
        <r>
          <rPr>
            <b/>
            <sz val="10"/>
            <rFont val="Tahoma"/>
            <family val="2"/>
          </rPr>
          <t xml:space="preserve">increases by CPI each feb, est 2004 cpi increase will be 3%
eff 2/1/06 rate $21,970.00 per month est cpi page increase eff 2/1/07
eff 2/1/07 rate is 22528 per month based on 2.5 % CPI
</t>
        </r>
        <r>
          <rPr>
            <b/>
            <sz val="10"/>
            <color indexed="20"/>
            <rFont val="Tahoma"/>
            <family val="2"/>
          </rPr>
          <t>2008 rate increase 4%, est renewal @ 5%</t>
        </r>
      </text>
    </comment>
    <comment ref="G35" authorId="2">
      <text>
        <r>
          <rPr>
            <b/>
            <sz val="8"/>
            <rFont val="Tahoma"/>
            <family val="2"/>
          </rPr>
          <t xml:space="preserve">in 2002 charge $14,000+ for 2001 op costs, almost double the previous year. No new base year with renewal
LL est 2002 op costs to be the same as 2001 op costs.
</t>
        </r>
        <r>
          <rPr>
            <b/>
            <sz val="8"/>
            <color indexed="10"/>
            <rFont val="Tahoma"/>
            <family val="2"/>
          </rPr>
          <t xml:space="preserve">6/10/03 LL provided an estimate for 2003 costs  based on the first 5 months 19,800, the 2003 costs are paid in 2004.
</t>
        </r>
        <r>
          <rPr>
            <b/>
            <sz val="8"/>
            <color indexed="12"/>
            <rFont val="Tahoma"/>
            <family val="2"/>
          </rPr>
          <t xml:space="preserve">operting costs for 2003 paid in 2004 totaled $15679.5. kept 2005 est at 20,000
</t>
        </r>
        <r>
          <rPr>
            <b/>
            <sz val="8"/>
            <color indexed="57"/>
            <rFont val="Tahoma"/>
            <family val="2"/>
          </rPr>
          <t xml:space="preserve">operating costs for 2004 paid in 2005 totaled $15,073.72. kept 2006 est at 20,000 
</t>
        </r>
        <r>
          <rPr>
            <b/>
            <sz val="8"/>
            <color indexed="20"/>
            <rFont val="Tahoma"/>
            <family val="2"/>
          </rPr>
          <t xml:space="preserve">operating costs for 2005 paid in 2006 totaled $17,649.99 kept est at $20,000
</t>
        </r>
        <r>
          <rPr>
            <b/>
            <sz val="8"/>
            <color indexed="15"/>
            <rFont val="Tahoma"/>
            <family val="2"/>
          </rPr>
          <t xml:space="preserve">2006 cam rec paid in 2007 20057.22 est 22,000 for 2008
</t>
        </r>
        <r>
          <rPr>
            <b/>
            <sz val="8"/>
            <color indexed="20"/>
            <rFont val="Tahoma"/>
            <family val="2"/>
          </rPr>
          <t>2007 CAM rec paid in 2008 22,681. est 25,000 for 2009</t>
        </r>
      </text>
    </comment>
    <comment ref="C36" authorId="1">
      <text>
        <r>
          <rPr>
            <sz val="8"/>
            <rFont val="Tahoma"/>
            <family val="2"/>
          </rPr>
          <t xml:space="preserve">$646.05/mo. plus 2.5% CPI = $662.21/mo. eff. 1/1/99
Eff. 1/1/04, increase to $751.29 (1.5% CPI)
Eff. 1/1/05, increase to $761.81
Eff. 1/1/06, increase to $788.48
Eff. 1/1/07, increase to $820.00
Eff. 1/1/08, CPI increase to $853.62
</t>
        </r>
      </text>
    </comment>
    <comment ref="D3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no new lease yet</t>
        </r>
      </text>
    </comment>
    <comment ref="F36" authorId="2">
      <text>
        <r>
          <rPr>
            <b/>
            <sz val="10"/>
            <rFont val="Tahoma"/>
            <family val="2"/>
          </rPr>
          <t xml:space="preserve">est 3 yr renewal, 5% increase year 1 with CPI increases year 2 &amp; 3
</t>
        </r>
        <r>
          <rPr>
            <b/>
            <sz val="10"/>
            <color indexed="20"/>
            <rFont val="Tahoma"/>
            <family val="2"/>
          </rPr>
          <t xml:space="preserve">assume renewal, mp on vacation, not available for comment. Est renew at 5% increase over 2006 rate of $788.48 per month
</t>
        </r>
        <r>
          <rPr>
            <b/>
            <sz val="10"/>
            <color indexed="53"/>
            <rFont val="Tahoma"/>
            <family val="2"/>
          </rPr>
          <t>2007 rate 820.00 per month with annual renewls based on CPI</t>
        </r>
      </text>
    </comment>
    <comment ref="C37" authorId="1">
      <text>
        <r>
          <rPr>
            <sz val="8"/>
            <rFont val="Tahoma"/>
            <family val="2"/>
          </rPr>
          <t xml:space="preserve">
Increase to $1386 eff. 4/1/04.
increase to $1435 eff. 4/1/05
Increase to 1485 eff. 4/1/06
Increase to $1,550/mo. Eff. 4/1/07
Increase to $1,600/mo. Eff. 4/1/08.</t>
        </r>
      </text>
    </comment>
    <comment ref="D37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renew?</t>
        </r>
      </text>
    </comment>
    <comment ref="F37" authorId="2">
      <text>
        <r>
          <rPr>
            <b/>
            <sz val="10"/>
            <rFont val="Tahoma"/>
            <family val="2"/>
          </rPr>
          <t>wlrd would like to renew, est 3 year renewal @ 3.5% increase each year based on previous agmnts with LL</t>
        </r>
        <r>
          <rPr>
            <b/>
            <sz val="10"/>
            <color indexed="48"/>
            <rFont val="Tahoma"/>
            <family val="2"/>
          </rPr>
          <t xml:space="preserve">
lease renewed for 3 years rate changes each april, set in lease
</t>
        </r>
        <r>
          <rPr>
            <b/>
            <sz val="10"/>
            <color indexed="20"/>
            <rFont val="Tahoma"/>
            <family val="2"/>
          </rPr>
          <t xml:space="preserve">7-6-06 assumed renewal, at similar rate increases as the prior renewal
</t>
        </r>
        <r>
          <rPr>
            <b/>
            <sz val="10"/>
            <color indexed="53"/>
            <rFont val="Tahoma"/>
            <family val="2"/>
          </rPr>
          <t>renewed at 1550 per month 4/1/07 - 3/31/08 
1600 per month for 4/1/08 - 3/31/09</t>
        </r>
      </text>
    </comment>
    <comment ref="G37" authorId="2">
      <text>
        <r>
          <rPr>
            <b/>
            <sz val="10"/>
            <rFont val="Tahoma"/>
            <family val="2"/>
          </rPr>
          <t>no operating</t>
        </r>
      </text>
    </comment>
    <comment ref="C38" authorId="1">
      <text>
        <r>
          <rPr>
            <sz val="8"/>
            <rFont val="Tahoma"/>
            <family val="2"/>
          </rPr>
          <t>Base rate=$5183.36
Increase from $5431.92/mo.  eff. 10/1/99 to $6355.28
Eff. 1/1/00 $6,187.28 (base=$5183.36, op costs=$961.92, parking=$42) (reduced to 1 parking stall per Chris) 
Remains the same until 2013.</t>
        </r>
      </text>
    </comment>
    <comment ref="F38" authorId="2">
      <text>
        <r>
          <rPr>
            <b/>
            <sz val="10"/>
            <rFont val="Tahoma"/>
            <family val="2"/>
          </rPr>
          <t xml:space="preserve">rate increases 10/1 for the 3rd 5 year term </t>
        </r>
        <r>
          <rPr>
            <b/>
            <sz val="10"/>
            <color indexed="48"/>
            <rFont val="Tahoma"/>
            <family val="2"/>
          </rPr>
          <t xml:space="preserve">rate increase based on CPI increase from 1994 to 2004, but min is 5981 per month. Est CPI increase in 10 years was @ 33%, min of 5981 is 40%
</t>
        </r>
        <r>
          <rPr>
            <b/>
            <sz val="10"/>
            <color indexed="20"/>
            <rFont val="Tahoma"/>
            <family val="2"/>
          </rPr>
          <t xml:space="preserve">rate should have been increased to a min of 5981 effective 10/1/04 but it wasn't. I am still using 5981 for base
</t>
        </r>
        <r>
          <rPr>
            <b/>
            <sz val="10"/>
            <color indexed="53"/>
            <rFont val="Tahoma"/>
            <family val="2"/>
          </rPr>
          <t>continue to budget what cm is payint</t>
        </r>
      </text>
    </comment>
    <comment ref="G38" authorId="2">
      <text>
        <r>
          <rPr>
            <sz val="8"/>
            <rFont val="Tahoma"/>
            <family val="2"/>
          </rPr>
          <t>op cost 961.92 per month for years, included 15% increase
no reconcilations ever received</t>
        </r>
      </text>
    </comment>
    <comment ref="H38" authorId="2">
      <text>
        <r>
          <rPr>
            <sz val="8"/>
            <rFont val="Tahoma"/>
            <family val="2"/>
          </rPr>
          <t xml:space="preserve">parking 42.00 per month included 10% increase
</t>
        </r>
      </text>
    </comment>
    <comment ref="C43" authorId="1">
      <text>
        <r>
          <rPr>
            <sz val="8"/>
            <rFont val="Tahoma"/>
            <family val="2"/>
          </rPr>
          <t>Carolyn Mock:
$7,604.53
Rate increase eff. 1/1/01 to $7,758.78
Eff. 1/1/02 = $7,913.03
Eff. 1/1/03=$8,072.42
Eff. 1/1/04=$8,226.67
Eff. 1/1/05 = $8,396.34
Eff. 1/1/06 = $8,566.02
Eff. 1/1/07 = $8,581.44
Eff. 1/1/08 = $8,910.51</t>
        </r>
      </text>
    </comment>
    <comment ref="D4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renewal</t>
        </r>
      </text>
    </comment>
    <comment ref="E4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may be adding square footage for records staff</t>
        </r>
      </text>
    </comment>
    <comment ref="G43" authorId="2">
      <text>
        <r>
          <rPr>
            <b/>
            <sz val="10"/>
            <rFont val="Tahoma"/>
            <family val="2"/>
          </rPr>
          <t>no operating</t>
        </r>
      </text>
    </comment>
    <comment ref="C44" authorId="1">
      <text>
        <r>
          <rPr>
            <sz val="8"/>
            <rFont val="Tahoma"/>
            <family val="2"/>
          </rPr>
          <t xml:space="preserve">
Eff. 1/1/04 rate=$3,218.75 plus new CAM $592.25=$3811.00
Amendment eff. 6/1/04, 3100 s.f. @ $16.40=$4,236.67 plus pass thru @ $2.90=$749.17 plus TI amort. @ $412.68= $5,398.52/mo.
Rate increase 1/1/06 = $4,363.77 plus CAM=1183.50 &amp; TI $412.68 =$5,959.94
increase 1/1/07 = 3% = $4,494.67 plus CAM @ $1183.50 &amp; TI @ $412.68 = $6090.85
Increase 1/1/08 = 3% = $4,629.52 plus
CAM=$1,183.50
TI = $412.68
Total=$6,225.69
</t>
        </r>
      </text>
    </comment>
    <comment ref="D44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will likely renew, but no renewal info 7/10/08</t>
        </r>
      </text>
    </comment>
    <comment ref="E44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48"/>
            <rFont val="Tahoma"/>
            <family val="2"/>
          </rPr>
          <t>added 1040 sq ft 7/04</t>
        </r>
      </text>
    </comment>
    <comment ref="F44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rent to increase by 3% effective 1/1/06
</t>
        </r>
        <r>
          <rPr>
            <sz val="10"/>
            <color indexed="10"/>
            <rFont val="Tahoma"/>
            <family val="2"/>
          </rPr>
          <t xml:space="preserve">est 3% increase for base each year 2006 base $4363.77 per month ($16.89 psf)
</t>
        </r>
        <r>
          <rPr>
            <sz val="10"/>
            <color indexed="50"/>
            <rFont val="Tahoma"/>
            <family val="2"/>
          </rPr>
          <t xml:space="preserve">
the LL based the 2007 3% base increase one the monthly rate and not the annual rate, that seems dumb but that is why I budgeted it this way for 2008,.
</t>
        </r>
        <r>
          <rPr>
            <sz val="10"/>
            <color indexed="12"/>
            <rFont val="Tahoma"/>
            <family val="2"/>
          </rPr>
          <t>will renew in 2009 - est renew @ 5% increase</t>
        </r>
      </text>
    </comment>
    <comment ref="G44" authorId="2">
      <text>
        <r>
          <rPr>
            <sz val="8"/>
            <rFont val="Tahoma"/>
            <family val="2"/>
          </rPr>
          <t xml:space="preserve">2000 to 2001 CAM increase was 4.85%, est a 5% CAM increase for 2002 actual was 16%. Est 20% increase for 2003 from 582.40/mo to 699/mo
</t>
        </r>
        <r>
          <rPr>
            <sz val="8"/>
            <color indexed="10"/>
            <rFont val="Tahoma"/>
            <family val="2"/>
          </rPr>
          <t>NO CAM increase in 2003 est a 10% increase from 2002-03 rate to 2004</t>
        </r>
        <r>
          <rPr>
            <sz val="8"/>
            <color indexed="48"/>
            <rFont val="Tahoma"/>
            <family val="2"/>
          </rPr>
          <t>per new agreement NNN in 2005 will be $2.90 per sq ft</t>
        </r>
        <r>
          <rPr>
            <sz val="8"/>
            <color indexed="57"/>
            <rFont val="Tahoma"/>
            <family val="2"/>
          </rPr>
          <t xml:space="preserve">  NNN to be adjusted effective 1/1/06 est increase to 3.25 psf for 2006
</t>
        </r>
        <r>
          <rPr>
            <sz val="8"/>
            <color indexed="10"/>
            <rFont val="Tahoma"/>
            <family val="2"/>
          </rPr>
          <t xml:space="preserve">est 3 % increase for each year. 2006 rate $770.82 per month, $2.98psf)
</t>
        </r>
        <r>
          <rPr>
            <sz val="8"/>
            <color indexed="50"/>
            <rFont val="Tahoma"/>
            <family val="2"/>
          </rPr>
          <t xml:space="preserve">CAM charge adjusted in jan of 2006 to 1183.50 should not be any more adjustments
</t>
        </r>
        <r>
          <rPr>
            <sz val="8"/>
            <color indexed="12"/>
            <rFont val="Tahoma"/>
            <family val="2"/>
          </rPr>
          <t>will renew in 2009 est increase in CAM with renewal</t>
        </r>
      </text>
    </comment>
    <comment ref="H44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48"/>
            <rFont val="Tahoma"/>
            <family val="2"/>
          </rPr>
          <t xml:space="preserve">amortized TI's for additional space (1040 sq ft) added 7/2004
</t>
        </r>
        <r>
          <rPr>
            <sz val="10"/>
            <color indexed="12"/>
            <rFont val="Tahoma"/>
            <family val="2"/>
          </rPr>
          <t>Will renew in 2009, TI's should terminate</t>
        </r>
      </text>
    </comment>
    <comment ref="C45" authorId="1">
      <text>
        <r>
          <rPr>
            <sz val="8"/>
            <rFont val="Tahoma"/>
            <family val="2"/>
          </rPr>
          <t>Carolyn Mock:
Rate increase eff. 1/1/01 to $5,218.00/mo.
Rate increase eff. 1/1/02 to $5,375.
Rate increase eff. 1/1/03 to $5,536.24
Rate increase eff. 1/1/04 to $5,702.34
Rate reduction eff. 1/1/05 to $5,417.00
Increase to $5,826.00 eff. 1/1/07</t>
        </r>
      </text>
    </comment>
    <comment ref="D4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draft renewal 8/1/2008 - 7/31/2011</t>
        </r>
      </text>
    </comment>
    <comment ref="F45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48"/>
            <rFont val="Tahoma"/>
            <family val="2"/>
          </rPr>
          <t>no renewal info as of 6-30-04, est renewal at 3% increase as this is what the annual increase has been the last 3 years</t>
        </r>
        <r>
          <rPr>
            <sz val="10"/>
            <color indexed="57"/>
            <rFont val="Tahoma"/>
            <family val="2"/>
          </rPr>
          <t xml:space="preserve">
renewed until 12/31/07 at 5417.00 per month 2.1.2005 - 12/31/2006, 5,826.00 per month 1/1/07 - 12/31/2007
</t>
        </r>
        <r>
          <rPr>
            <sz val="10"/>
            <color indexed="10"/>
            <rFont val="Tahoma"/>
            <family val="2"/>
          </rPr>
          <t>assumed renew 1 year with 7.5 % increase which is consistent with the prior annual increase.</t>
        </r>
      </text>
    </comment>
    <comment ref="G45" authorId="2">
      <text>
        <r>
          <rPr>
            <b/>
            <sz val="10"/>
            <rFont val="Tahoma"/>
            <family val="2"/>
          </rPr>
          <t>no operating</t>
        </r>
      </text>
    </comment>
    <comment ref="C46" authorId="1">
      <text>
        <r>
          <rPr>
            <sz val="8"/>
            <rFont val="Tahoma"/>
            <family val="2"/>
          </rPr>
          <t>Carolyn Mock:
Eff. 7/1/02 base change to $1,666.66 plus $418.55 CAm=$2,085.21
Eff. 1/1/03 CAM increase to $443.39/mo. plus $1,666.66 rent = $2,110.05.
Terminates 12/31/06.
Option to extend @ same rate.</t>
        </r>
      </text>
    </comment>
    <comment ref="F46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renewal at 25,000
</t>
        </r>
        <r>
          <rPr>
            <sz val="10"/>
            <color indexed="57"/>
            <rFont val="Tahoma"/>
            <family val="2"/>
          </rPr>
          <t xml:space="preserve">renewed until 6/30/2006 at 1666.66 per month. Est renew 7/1/06 at 25,000 annually if LL does not develop property
</t>
        </r>
        <r>
          <rPr>
            <sz val="10"/>
            <color indexed="10"/>
            <rFont val="Tahoma"/>
            <family val="2"/>
          </rPr>
          <t xml:space="preserve">as of 7/06 renewed for 6 months with option for a 1 year renewal at $20,000 annually, ($1666.66 per month) with a CAM $5,320.68 annually ($443.39 per month) 1/1/07 - 12/31/07.
7-2008 
</t>
        </r>
        <r>
          <rPr>
            <sz val="10"/>
            <color indexed="12"/>
            <rFont val="Tahoma"/>
            <family val="2"/>
          </rPr>
          <t xml:space="preserve">renewed for 3 years
2008 @ 1875.00 per mo
2009 - 1958.33 per mo
2010 - 2041.67 per mo 
plus CAM current CAM is 443.39 per month with reconciliation at 860.66 for 2007
</t>
        </r>
      </text>
    </comment>
    <comment ref="G46" authorId="2">
      <text>
        <r>
          <rPr>
            <b/>
            <sz val="8"/>
            <rFont val="Tahoma"/>
            <family val="2"/>
          </rPr>
          <t>owner est 2003 CAM @ 464.81; Put in 475</t>
        </r>
        <r>
          <rPr>
            <b/>
            <sz val="8"/>
            <color indexed="10"/>
            <rFont val="Tahoma"/>
            <family val="2"/>
          </rPr>
          <t xml:space="preserve"> received 2002 reconcilation 6/10/03. owners new est for 2003 is 443.39. est 3% increase for but taxes and insurance (10% increase) for 2004 CAM</t>
        </r>
        <r>
          <rPr>
            <b/>
            <sz val="8"/>
            <color indexed="48"/>
            <rFont val="Tahoma"/>
            <family val="2"/>
          </rPr>
          <t xml:space="preserve"> as of 6-30-04 have not recvd 2003 reconciliation. In 2004 still paying 443.39 per month. est 2005 at 475.
</t>
        </r>
        <r>
          <rPr>
            <b/>
            <sz val="8"/>
            <color indexed="57"/>
            <rFont val="Tahoma"/>
            <family val="2"/>
          </rPr>
          <t xml:space="preserve">renewed for additional yr new exp 6/30/06. new cam charge $443.39 per month, est renew for last 6 months of 2006 @ 475.00 per month for CAM if LL does not develop property
</t>
        </r>
        <r>
          <rPr>
            <b/>
            <sz val="8"/>
            <color indexed="10"/>
            <rFont val="Tahoma"/>
            <family val="2"/>
          </rPr>
          <t xml:space="preserve">option to renew for 1 year (2007) CAM $5,320.68 annually
</t>
        </r>
        <r>
          <rPr>
            <b/>
            <sz val="8"/>
            <color indexed="12"/>
            <rFont val="Tahoma"/>
            <family val="2"/>
          </rPr>
          <t>2007 CAM is 443.39 per month. est 2008 CAM @ 475.00</t>
        </r>
      </text>
    </comment>
    <comment ref="C47" authorId="1">
      <text>
        <r>
          <rPr>
            <sz val="8"/>
            <rFont val="Tahoma"/>
            <family val="2"/>
          </rPr>
          <t>Carolyn Mock:
Rate increase of 15% every 5 years, 11/1/03, 11/1/08…
Increase to $1,150.00/mo. effective 11/1/03.
$1322.50 eff. 11/1/08</t>
        </r>
      </text>
    </comment>
    <comment ref="G4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4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4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4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</t>
        </r>
      </text>
    </comment>
    <comment ref="H5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4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4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7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7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5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I5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repayment for door damage paid by ltl in 2008</t>
        </r>
      </text>
    </comment>
    <comment ref="G5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5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6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6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G6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utilities and parking</t>
        </r>
      </text>
    </comment>
    <comment ref="H6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fmd maintenance</t>
        </r>
      </text>
    </comment>
    <comment ref="N62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transfer to FMD</t>
        </r>
      </text>
    </comment>
    <comment ref="C63" authorId="1">
      <text>
        <r>
          <rPr>
            <sz val="8"/>
            <rFont val="Tahoma"/>
            <family val="2"/>
          </rPr>
          <t>Carolyn Mock:
Paid $5,042 for Jan &amp; Feb., should have been $5,757.92 per Cheryl Cooper at Safehaven.
Eff. 1/1/00 pay additional $1,557.59/mo.  for repair/replacement reserve. Total = $7315.51/mo.</t>
        </r>
      </text>
    </comment>
    <comment ref="F63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we never receive anything from safehaven suppose to receive a reconciliation every 6/1 but never have</t>
        </r>
      </text>
    </comment>
    <comment ref="H63" authorId="2">
      <text>
        <r>
          <rPr>
            <sz val="8"/>
            <rFont val="Tahoma"/>
            <family val="2"/>
          </rPr>
          <t xml:space="preserve">Payment to mmf remains constant @ 1557.59/mo
</t>
        </r>
      </text>
    </comment>
    <comment ref="C64" authorId="1">
      <text>
        <r>
          <rPr>
            <sz val="8"/>
            <rFont val="Tahoma"/>
            <family val="2"/>
          </rPr>
          <t xml:space="preserve">Carolyn Mock:
$6,109.00/mo.
Eff. 9/1/00 increase to $6,255.00/mo.
Eff. 9/1/01 increase to $6400.17/mo.               
Eff. 9/1/02 increase to $6,546/mo.
Eff. 9/1/03 increase to $6,691/mo.
Eff. 9/1/04 inrease to $6,837/mo.
Lease extension eff. 9/1/05=$6,837
9/1/06 = $6,982
9/1/07 = no change
9/1/08 = $7,273
'9/1/09 = no change
</t>
        </r>
      </text>
    </comment>
    <comment ref="F64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lease expires 8/05 est 3% increase if renew</t>
        </r>
        <r>
          <rPr>
            <sz val="10"/>
            <color indexed="57"/>
            <rFont val="Tahoma"/>
            <family val="2"/>
          </rPr>
          <t xml:space="preserve">
5 yr renewal at
9/1/05 - 8/31/06 6837.00 per month;
9/1/06 - 8/31/08 6982.00 per month
9/1/08 - 8/31/10 7273.00 per month
</t>
        </r>
      </text>
    </comment>
    <comment ref="G64" authorId="2">
      <text>
        <r>
          <rPr>
            <b/>
            <sz val="8"/>
            <rFont val="Tahoma"/>
            <family val="2"/>
          </rPr>
          <t>total op costs have increased 21% in last two years. Est a 15% increase in total op costs for 2002.</t>
        </r>
        <r>
          <rPr>
            <b/>
            <sz val="8"/>
            <color indexed="10"/>
            <rFont val="Tahoma"/>
            <family val="2"/>
          </rPr>
          <t xml:space="preserve"> 2002 op costs decreased by 2%, est a 10% increase for 2004
</t>
        </r>
        <r>
          <rPr>
            <b/>
            <sz val="8"/>
            <color indexed="12"/>
            <rFont val="Tahoma"/>
            <family val="2"/>
          </rPr>
          <t xml:space="preserve">2004 CAM $3271.29 est 2005 @ 3500
</t>
        </r>
        <r>
          <rPr>
            <b/>
            <sz val="8"/>
            <color indexed="17"/>
            <rFont val="Tahoma"/>
            <family val="2"/>
          </rPr>
          <t xml:space="preserve">2004 op exp 5,294
</t>
        </r>
        <r>
          <rPr>
            <b/>
            <sz val="8"/>
            <color indexed="57"/>
            <rFont val="Tahoma"/>
            <family val="2"/>
          </rPr>
          <t xml:space="preserve">does not appear to be a new base year for operating costs - est 4% increase in op costs for 2006
</t>
        </r>
        <r>
          <rPr>
            <b/>
            <sz val="8"/>
            <color indexed="20"/>
            <rFont val="Tahoma"/>
            <family val="2"/>
          </rPr>
          <t xml:space="preserve">2006  - for 2005 paid $6741.67 for operating expenses.
see op cost sheet for 2007 estimate
</t>
        </r>
        <r>
          <rPr>
            <b/>
            <sz val="8"/>
            <color indexed="12"/>
            <rFont val="Tahoma"/>
            <family val="2"/>
          </rPr>
          <t xml:space="preserve">as of july 1 2007 have not rec'd a 2006 op cost exp. bugt 6500 for 2008
</t>
        </r>
        <r>
          <rPr>
            <b/>
            <sz val="8"/>
            <color indexed="10"/>
            <rFont val="Tahoma"/>
            <family val="2"/>
          </rPr>
          <t>2006 rec - 6277.02
2007 rec 6260.06
est 7% increase for 2008 rec</t>
        </r>
      </text>
    </comment>
    <comment ref="C65" authorId="1">
      <text>
        <r>
          <rPr>
            <sz val="8"/>
            <rFont val="Tahoma"/>
            <family val="2"/>
          </rPr>
          <t>Carolyn Mock:
Rate increase of 4.25% each 10/1
Increase to $3,160.88 eff. 10/1/04.
Increase to $3295.22 eff. 10/1/05.
Increase to $3,435.27 eff. 10/1/06.
Increase to $3,581.26 eff. 10/1/07.
Inccrease to $3,733.46 eff. 10/1/08.</t>
        </r>
      </text>
    </comment>
    <comment ref="D6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amendment in works 7-06
as of 7/07 have a verbal commitment to extend until 6/2008 put in amount for all of 2008</t>
        </r>
      </text>
    </comment>
    <comment ref="E6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new sq ft </t>
        </r>
      </text>
    </comment>
    <comment ref="F66" authorId="2">
      <text>
        <r>
          <rPr>
            <sz val="10"/>
            <rFont val="Tahoma"/>
            <family val="2"/>
          </rPr>
          <t xml:space="preserve">adjusted for potential increase at renewal
</t>
        </r>
        <r>
          <rPr>
            <sz val="10"/>
            <color indexed="12"/>
            <rFont val="Tahoma"/>
            <family val="2"/>
          </rPr>
          <t xml:space="preserve">no word on whether or not we are renewing, est 15.00 psf at renewal
</t>
        </r>
        <r>
          <rPr>
            <sz val="10"/>
            <color indexed="57"/>
            <rFont val="Tahoma"/>
            <family val="2"/>
          </rPr>
          <t xml:space="preserve">on month to month, health would like to consolidate this site with another health site. Did not estimate an increase over what we are currently paying as of 7/05
</t>
        </r>
        <r>
          <rPr>
            <sz val="10"/>
            <color indexed="12"/>
            <rFont val="Tahoma"/>
            <family val="2"/>
          </rPr>
          <t xml:space="preserve">as of 7-12-06 amendment being negotiated by DPH to extend to 6/30/07 @ 17.25 psf. put in for entire 2007 not likely to find new location before than?
</t>
        </r>
        <r>
          <rPr>
            <sz val="10"/>
            <color indexed="57"/>
            <rFont val="Tahoma"/>
            <family val="2"/>
          </rPr>
          <t>as of 7/07 have a verbal comitment to continue to 6/2008 - budgeted all of 2008 at same rate as paying in 7/07 7245.00 per month plus cam</t>
        </r>
      </text>
    </comment>
    <comment ref="G66" authorId="2">
      <text>
        <r>
          <rPr>
            <b/>
            <sz val="8"/>
            <rFont val="Tahoma"/>
            <family val="2"/>
          </rPr>
          <t xml:space="preserve">intial cam of $5.00 psf reconciled ea 3/1. Actual 2001 cam was $6.72 (34% ) LL est 2001 7.11, 2002 - 8.20, 2003 - 9.27.  Est reconcilation amount @ 5% of pre-paid est
</t>
        </r>
        <r>
          <rPr>
            <b/>
            <sz val="8"/>
            <color indexed="10"/>
            <rFont val="Tahoma"/>
            <family val="2"/>
          </rPr>
          <t xml:space="preserve">as of 7/2/03 we have not received a reconciliation for 2001 or 2002. Est 2004 cam at $10.20 psf
</t>
        </r>
        <r>
          <rPr>
            <b/>
            <sz val="8"/>
            <color indexed="12"/>
            <rFont val="Tahoma"/>
            <family val="2"/>
          </rPr>
          <t xml:space="preserve">have still not rec'd recon from LL, don't know if renewing est an increase based on a 10% increase over the 2000 operating costs (the last rec'd recon)
</t>
        </r>
        <r>
          <rPr>
            <b/>
            <sz val="8"/>
            <color indexed="57"/>
            <rFont val="Tahoma"/>
            <family val="2"/>
          </rPr>
          <t xml:space="preserve">on month to month this is what we are paying per month for CAM as of 7/05
</t>
        </r>
        <r>
          <rPr>
            <b/>
            <sz val="8"/>
            <color indexed="20"/>
            <rFont val="Tahoma"/>
            <family val="2"/>
          </rPr>
          <t xml:space="preserve">2006 paying 4097.00 per month in CAM charges not likely to be reduced even with new agreement, est 5200 for 2007
</t>
        </r>
        <r>
          <rPr>
            <b/>
            <sz val="8"/>
            <color indexed="57"/>
            <rFont val="Tahoma"/>
            <family val="2"/>
          </rPr>
          <t>as of 7/07 have verbal commitment to extend to 6/08 budgeted all of 2008 at same rate as paying in 7/07 - 3729.60 per month</t>
        </r>
      </text>
    </comment>
    <comment ref="H66" authorId="2">
      <text>
        <r>
          <rPr>
            <sz val="8"/>
            <rFont val="Tahoma"/>
            <family val="2"/>
          </rPr>
          <t>amortized TI's @ 6% over 5 years. 6226.89/mo
should be no TI's at renewal</t>
        </r>
      </text>
    </comment>
    <comment ref="C67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Eff. 9/1/05 base rate=$3,367 plus op cost=$814, total=$4,181
Eff. 9/1/06 base rate=$3465 thru 8/31/08
Eff. 1/1/07 CAM=$842, total = $4,307
New ownership? Delayed per Colliers email 7/19/07
Received change letter 7/30/07.
Eff. 1/1/08 CAM=$1,126.77, total = $4,591.77
Eff. 9/1/08 base rent = $3,563.00 plus CAM</t>
        </r>
      </text>
    </comment>
    <comment ref="F67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lease expires 8/05, assume renewal at 3850 per month (10% increase)</t>
        </r>
        <r>
          <rPr>
            <sz val="10"/>
            <color indexed="21"/>
            <rFont val="Tahoma"/>
            <family val="2"/>
          </rPr>
          <t xml:space="preserve">
renewed at 
9/1/05 - 8/31/06 3367 per month
9/1/06 - 8/31/08 3465 per month
9/1/08 - 8/31/10 3563 per month</t>
        </r>
      </text>
    </comment>
    <comment ref="G67" authorId="2">
      <text>
        <r>
          <rPr>
            <sz val="8"/>
            <rFont val="Tahoma"/>
            <family val="2"/>
          </rPr>
          <t xml:space="preserve">2002 op costs 761/mo est 15% increase for 2003
</t>
        </r>
        <r>
          <rPr>
            <sz val="8"/>
            <color indexed="10"/>
            <rFont val="Tahoma"/>
            <family val="2"/>
          </rPr>
          <t xml:space="preserve">est 2004 costs at .30 psf/mo (ll does not reconcile)
</t>
        </r>
        <r>
          <rPr>
            <sz val="8"/>
            <color indexed="12"/>
            <rFont val="Tahoma"/>
            <family val="2"/>
          </rPr>
          <t xml:space="preserve">2004 paying 860 per month, est 5% increase for 2005, ll doesn't reconcile?
</t>
        </r>
        <r>
          <rPr>
            <sz val="8"/>
            <color indexed="21"/>
            <rFont val="Tahoma"/>
            <family val="2"/>
          </rPr>
          <t xml:space="preserve">2005 paying 814 per month operating - left same estimate as prior year
</t>
        </r>
        <r>
          <rPr>
            <sz val="8"/>
            <color indexed="20"/>
            <rFont val="Tahoma"/>
            <family val="2"/>
          </rPr>
          <t xml:space="preserve">2006 paying $814.00 per month for CAM - 2007 est $900
</t>
        </r>
        <r>
          <rPr>
            <sz val="8"/>
            <color indexed="57"/>
            <rFont val="Tahoma"/>
            <family val="2"/>
          </rPr>
          <t>2007 monthly cam is 842 plus balance paid in 2007 for prior year reconciliation 1040.35. budget $875.00 per month 2008 pluss 1,000 for reconciliations</t>
        </r>
      </text>
    </comment>
    <comment ref="C68" authorId="1">
      <text>
        <r>
          <rPr>
            <sz val="8"/>
            <rFont val="Tahoma"/>
            <family val="2"/>
          </rPr>
          <t>MOCKC:
Radio Comm. paid thru February,2003.  Begin paying 3/1/03. 
Rate =$5176.00
Rate increase eff. 10/1/03 = $5331.00
'10/1/04 = $5491.00
10/1/05 = $5655.00
Expires 9/30/06 - renew?
Waiting for lease to be signed to adjust
10/1/06 = $5750.00
10/1/08 = $5865.00
10/1/10 = $5980.00</t>
        </r>
      </text>
    </comment>
    <comment ref="F68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lease expires 9/30/2006 estimate will renew but don’t' know rate, but in for remainder of 2006 at 3% increase - same as previous annual increase
</t>
        </r>
        <r>
          <rPr>
            <sz val="10"/>
            <color indexed="57"/>
            <rFont val="Tahoma"/>
            <family val="2"/>
          </rPr>
          <t xml:space="preserve">renewed 10/1/06 0 9/30/2011
rates 10/06 - 9/08 - 5750 per month
10/08 - 9/10 - 5865 per month
10/10 - 9/11 - 5980 per month
</t>
        </r>
      </text>
    </comment>
    <comment ref="G68" authorId="2">
      <text>
        <r>
          <rPr>
            <sz val="8"/>
            <rFont val="Tahoma"/>
            <family val="2"/>
          </rPr>
          <t xml:space="preserve">insurance, taxes, &amp; maintenance est by brent beden to be 10631.78 for 2002, est 5% increase for 2003
</t>
        </r>
        <r>
          <rPr>
            <sz val="8"/>
            <color indexed="10"/>
            <rFont val="Tahoma"/>
            <family val="2"/>
          </rPr>
          <t xml:space="preserve">as of 6/03 we have not paid any additional costs, tenant may be paying directly, est 15% increase over brent's initial est for 2004 in case we are charged </t>
        </r>
        <r>
          <rPr>
            <sz val="8"/>
            <color indexed="12"/>
            <rFont val="Tahoma"/>
            <family val="2"/>
          </rPr>
          <t xml:space="preserve">I left this in for 2005, tenant may still be paying as we have not paid anything but it needs to be budgeted in the tenants org.
</t>
        </r>
        <r>
          <rPr>
            <sz val="8"/>
            <color indexed="20"/>
            <rFont val="Tahoma"/>
            <family val="2"/>
          </rPr>
          <t xml:space="preserve">tenant pays the NNN but this should be budgeted in the tenants org. est based on 2006 YTD *2 * 1.05 for inflation
</t>
        </r>
        <r>
          <rPr>
            <sz val="8"/>
            <color indexed="57"/>
            <rFont val="Tahoma"/>
            <family val="2"/>
          </rPr>
          <t xml:space="preserve">tenant pay NNN but still nothing through CM, tenant may be paying directly - budgeted 250.00 per month
</t>
        </r>
        <r>
          <rPr>
            <sz val="8"/>
            <color indexed="10"/>
            <rFont val="Tahoma"/>
            <family val="2"/>
          </rPr>
          <t>7-08 - still no NNN costs budgeted$0.00</t>
        </r>
      </text>
    </comment>
    <comment ref="C69" authorId="1">
      <text>
        <r>
          <rPr>
            <sz val="8"/>
            <rFont val="Tahoma"/>
            <family val="2"/>
          </rPr>
          <t>Carolyn Mock:
Eff. 1/1/05, $1125.00/mo.
Eff. 1/1/06 = $1,200.00
Eff. 1/1/07 = $1,250.00
Eff. 1/1/08= $1,300.00</t>
        </r>
      </text>
    </comment>
    <comment ref="D6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option to renew for 1 year
expect will renew in 2008 
option to renew for 2009</t>
        </r>
      </text>
    </comment>
    <comment ref="F69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expires 12/31/05 est will renew at $75.00 per month increase based on what LL has done in the past
</t>
        </r>
        <r>
          <rPr>
            <sz val="10"/>
            <color indexed="10"/>
            <rFont val="Tahoma"/>
            <family val="2"/>
          </rPr>
          <t xml:space="preserve">est will renew at 1300 per month?
</t>
        </r>
        <r>
          <rPr>
            <sz val="10"/>
            <color indexed="20"/>
            <rFont val="Tahoma"/>
            <family val="2"/>
          </rPr>
          <t>7-08 est will renew for 2009 @ 1500 per month</t>
        </r>
      </text>
    </comment>
    <comment ref="C70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Adjust each 1/1 for CPI
Eff. 1/1/06 = $414.00/mo.
Eff. 1/1/07 = $427.25/mo.
Eff. 1/1/08 = $444.77</t>
        </r>
      </text>
    </comment>
    <comment ref="F70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 xml:space="preserve">new ltl fund, added at the last minute ,rate increases by cpi, don't know what the owner used for the 2004 cpi.
</t>
        </r>
        <r>
          <rPr>
            <sz val="10"/>
            <color indexed="57"/>
            <rFont val="Tahoma"/>
            <family val="2"/>
          </rPr>
          <t xml:space="preserve">As of 7/05 have not yet recev'd a CPI increase for this lease
</t>
        </r>
        <r>
          <rPr>
            <sz val="10"/>
            <color indexed="20"/>
            <rFont val="Tahoma"/>
            <family val="2"/>
          </rPr>
          <t>2006 pay 414.00 per month. Annual cpi effective jan 1 - assume renewal because ems.
2007 427.25
2008 444.77</t>
        </r>
      </text>
    </comment>
    <comment ref="C71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Base rent = $43,673.67, Op costs = $76.58/mo., total=$43,750.25
Eff. 1/1/06 op costs = $354.95/mo., total=$44,028.62
Eff. 3/1/07 op costs= $1,102.36/mo.
Total=$44,776.03
Eff. 1/1/08
rent=46,651.42</t>
        </r>
      </text>
    </comment>
    <comment ref="F7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2-2008 - this should be 23.50 psf not 24.00</t>
        </r>
      </text>
    </comment>
    <comment ref="G7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2008 is new base year</t>
        </r>
      </text>
    </comment>
    <comment ref="F7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2-2008 - this should be 23.50 psf not 24.00</t>
        </r>
      </text>
    </comment>
    <comment ref="G7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2008 is new base year</t>
        </r>
      </text>
    </comment>
    <comment ref="F7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2-2008 - this should be 23.50 psf not 24.00</t>
        </r>
      </text>
    </comment>
    <comment ref="G7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2008 is new base year</t>
        </r>
      </text>
    </comment>
    <comment ref="E74" authorId="0">
      <text>
        <r>
          <rPr>
            <b/>
            <sz val="10"/>
            <rFont val="Tahoma"/>
            <family val="2"/>
          </rPr>
          <t xml:space="preserve">kurek: 
ll remeasured per renewal </t>
        </r>
      </text>
    </comment>
    <comment ref="F74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ASSUMES CAN RENEW AT SAME RATE AS 32ND FLOOR
</t>
        </r>
      </text>
    </comment>
    <comment ref="I74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payment for 2008 rent covered by LTL fund
</t>
        </r>
      </text>
    </comment>
    <comment ref="E7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ll remeasured per renewal</t>
        </r>
      </text>
    </comment>
    <comment ref="F7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ASSUMES CAN RENEW AT SAME RATE AS 32ND FLOOR
</t>
        </r>
      </text>
    </comment>
    <comment ref="C77" authorId="4">
      <text>
        <r>
          <rPr>
            <b/>
            <sz val="8"/>
            <rFont val="Tahoma"/>
            <family val="2"/>
          </rPr>
          <t>Carolyn Mock:</t>
        </r>
        <r>
          <rPr>
            <sz val="8"/>
            <rFont val="Tahoma"/>
            <family val="2"/>
          </rPr>
          <t xml:space="preserve">
$2,333.33 thru 7/31/14 plus $2,465/mo. TI Amort., Total=
$4,798.33</t>
        </r>
      </text>
    </comment>
    <comment ref="H77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amortized TI reimbursement</t>
        </r>
      </text>
    </comment>
    <comment ref="H78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asset management fees, provided by misty baskett</t>
        </r>
      </text>
    </comment>
    <comment ref="N78" authorId="2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asset management fees, provided by misty baskett</t>
        </r>
      </text>
    </comment>
    <comment ref="C81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$1,386.19/mo.
CPI increase effective 1/1/08 = $1440.25
Expires 12/31/08</t>
        </r>
      </text>
    </comment>
    <comment ref="F8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increases by CPI</t>
        </r>
      </text>
    </comment>
    <comment ref="C82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Rent=$1600
CAM=$140, total=$1740
Eff. 1/1/07
RE Tax=$126.78
Insurance=$43.00
 total = $1769.78
Eff. 1/1/08
RE Tax=$154.80
Insurance=$57.59
total=$1812.39</t>
        </r>
      </text>
    </comment>
    <comment ref="F8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rent sent in lease, assume renew @ 1750 per month
</t>
        </r>
        <r>
          <rPr>
            <sz val="10"/>
            <color indexed="10"/>
            <rFont val="Tahoma"/>
            <family val="2"/>
          </rPr>
          <t>this lease is expired assumed a renew rate @ 1750 month</t>
        </r>
      </text>
    </comment>
    <comment ref="G8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insurance &amp; taxes, in 2006 paying additl 140 per month, used cpi to escalate 2007 est.
In addition to 140 per month CAM
</t>
        </r>
        <r>
          <rPr>
            <sz val="10"/>
            <color indexed="10"/>
            <rFont val="Tahoma"/>
            <family val="2"/>
          </rPr>
          <t xml:space="preserve">2007 pay 126.78 taxes, 43.00 insur per month, budget 200 for 2008
2008 - 154.80 taxes
57.59 insure
2009 est - should be a new agreement
150.00 CAM
163.00 taxes
61.00 insure
</t>
        </r>
      </text>
    </comment>
    <comment ref="B8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per e-mail, 7-11-08, from mark this lease is terminating and will not be replaced</t>
        </r>
      </text>
    </comment>
    <comment ref="D8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expires 6/30/2007 with 2, 1 year extensions
</t>
        </r>
        <r>
          <rPr>
            <sz val="10"/>
            <color indexed="10"/>
            <rFont val="Tahoma"/>
            <family val="2"/>
          </rPr>
          <t>terminating</t>
        </r>
      </text>
    </comment>
    <comment ref="F84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833.00 of rent waived each month - $1000.00 per month is the rate less the waived portion
</t>
        </r>
        <r>
          <rPr>
            <sz val="10"/>
            <color indexed="10"/>
            <rFont val="Tahoma"/>
            <family val="2"/>
          </rPr>
          <t xml:space="preserve">budgeted renewal at same rate
</t>
        </r>
        <r>
          <rPr>
            <sz val="10"/>
            <color indexed="20"/>
            <rFont val="Tahoma"/>
            <family val="2"/>
          </rPr>
          <t>7-10-08 lease renewal pending
8/1/08 - 1925.00 per mon
8/1/09 - 1167.00 per mo
8/1/10 - 1217.00 per mo</t>
        </r>
      </text>
    </comment>
    <comment ref="G84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CAM charge is waived</t>
        </r>
      </text>
    </comment>
    <comment ref="C85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New lease effective 6/1/07 = $12,292.42/mo.
Eff. 1/1/08 operating costs = $722.00/mo.
total = $13,014.42
Rate increase 6/1/09=$12,653.
6/1/01=$14,115.00
</t>
        </r>
      </text>
    </comment>
    <comment ref="F8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new lease replaces grady way lease 1719B - rates 6/1/2007 - 5/31/2009 - 12292.42
6/1/2009 - 5/31/2011 - 12653.96 per month
6/1/2009 - 5/31/2012 - 13015.50 per month</t>
        </r>
      </text>
    </comment>
    <comment ref="G85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teant pays share of property taxes &amp; share of op cost increase did not budget anything for 2008 because no information to go on
</t>
        </r>
        <r>
          <rPr>
            <sz val="10"/>
            <color indexed="20"/>
            <rFont val="Tahoma"/>
            <family val="2"/>
          </rPr>
          <t>2008 charged 722 per month CAM - but no 2008 budget provided
2009 estimate 10% increase over 2008, based on what they are paying not the total CAM charges as they have not been provided</t>
        </r>
      </text>
    </comment>
    <comment ref="F8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base rent office &amp; data center,
see bob's e-mail</t>
        </r>
      </text>
    </comment>
    <comment ref="G8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NNN see bob's e-mail</t>
        </r>
      </text>
    </comment>
    <comment ref="H86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for metered electrical - per conversation with Bob 7-11-08</t>
        </r>
      </text>
    </comment>
    <comment ref="C87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Lease starts 9/1/07, no rent for 1st 4 months.
Start payments 1/1/08?</t>
        </r>
      </text>
    </comment>
    <comment ref="F87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RENT 
MONTHS 5 - 36 49722 PER MONTH (APPEARS TO BEGIN 10/1/07
MONTHS 37 - 60 53,866
MONTHS 61 - 96 - 58009 PER MONTH 
MONTHS 97 - 120 62153 PER MONTH</t>
        </r>
      </text>
    </comment>
    <comment ref="G87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BASE YEAR WILL BE 2007
The LL will not give us any indication of the operating costs but promises to bill us in the 1st quarter of 2009 whoopee!</t>
        </r>
      </text>
    </comment>
    <comment ref="H87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MAY BE AMORTIZED TI'S IF EXCEED ALLOWANCE
</t>
        </r>
      </text>
    </comment>
    <comment ref="D8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plan to purchase 5/1/2008</t>
        </r>
      </text>
    </comment>
    <comment ref="F8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updated 9-4-07</t>
        </r>
      </text>
    </comment>
    <comment ref="H88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amortized TI's 10 years, 9%, $9,192,613.40</t>
        </r>
      </text>
    </comment>
    <comment ref="C89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rent=$5643.00
NNN=$1074.00
Total = $6,717.00
3% annual increases beginning 6/1/09.</t>
        </r>
      </text>
    </comment>
    <comment ref="F8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MONTHS 1 - 24 5643 PER MONTH 
YEARS 3 - 10 INCREASE 3% PER YEAR ON ANNIVERSERY DATE</t>
        </r>
      </text>
    </comment>
    <comment ref="G8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WILL PAY OP COST ESCALATIONS
5% increase for 2009</t>
        </r>
      </text>
    </comment>
    <comment ref="C90" authorId="3">
      <text>
        <r>
          <rPr>
            <b/>
            <sz val="8"/>
            <rFont val="Tahoma"/>
            <family val="2"/>
          </rPr>
          <t>mockc:</t>
        </r>
        <r>
          <rPr>
            <sz val="8"/>
            <rFont val="Tahoma"/>
            <family val="2"/>
          </rPr>
          <t xml:space="preserve">
Rent=$6943.30
NNN=$45.61
Total=$6,988.91
NNN adjustment back to 1/1/08 = $240.53/mo.
Total=$7,183.83/mo
9/1/08 rent=$7,155.85</t>
        </r>
      </text>
    </comment>
    <comment ref="F9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est renewal @ 25.00</t>
        </r>
      </text>
    </comment>
    <comment ref="G90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APPEAR TO BE PAYING 45.61 IN 2007 FOR NNN CHARGES
</t>
        </r>
        <r>
          <rPr>
            <sz val="10"/>
            <color indexed="10"/>
            <rFont val="Tahoma"/>
            <family val="2"/>
          </rPr>
          <t>2008 nnn 240.81 per mon
2009 est 300 per month</t>
        </r>
      </text>
    </comment>
    <comment ref="F91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this rate was only set until 5/07 but so far it has not been raised
</t>
        </r>
        <r>
          <rPr>
            <sz val="10"/>
            <color indexed="10"/>
            <rFont val="Tahoma"/>
            <family val="2"/>
          </rPr>
          <t>had been raised unbeknownst to us - increases were sent to DPH
2007 - 9669.12 per mo
2008 - 11537.39 per mo
est 2009 20% increase</t>
        </r>
      </text>
    </comment>
    <comment ref="F9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new lease, based on draft recv'd from mark z on 7-14-08</t>
        </r>
      </text>
    </comment>
    <comment ref="G92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lessee responsible for utilities, taxes, insurance, &amp; CAM. Est based on 2007 info provided by owner plus 5%</t>
        </r>
      </text>
    </comment>
    <comment ref="D9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renewing
</t>
        </r>
      </text>
    </comment>
    <comment ref="F93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lease has inaccurate information - this is an estimate</t>
        </r>
      </text>
    </comment>
    <comment ref="F11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retail revenue</t>
        </r>
      </text>
    </comment>
  </commentList>
</comments>
</file>

<file path=xl/comments2.xml><?xml version="1.0" encoding="utf-8"?>
<comments xmlns="http://schemas.openxmlformats.org/spreadsheetml/2006/main">
  <authors>
    <author>kurek</author>
  </authors>
  <commentList>
    <comment ref="B49" authorId="0">
      <text>
        <r>
          <rPr>
            <b/>
            <sz val="10"/>
            <rFont val="Tahoma"/>
            <family val="2"/>
          </rPr>
          <t>kurek:</t>
        </r>
        <r>
          <rPr>
            <sz val="10"/>
            <rFont val="Tahoma"/>
            <family val="2"/>
          </rPr>
          <t xml:space="preserve">
per e-mail from dp 7-10-07</t>
        </r>
      </text>
    </comment>
  </commentList>
</comments>
</file>

<file path=xl/sharedStrings.xml><?xml version="1.0" encoding="utf-8"?>
<sst xmlns="http://schemas.openxmlformats.org/spreadsheetml/2006/main" count="472" uniqueCount="250">
  <si>
    <t>2009 ADMIN FEE</t>
  </si>
  <si>
    <t xml:space="preserve"> </t>
  </si>
  <si>
    <t>2009 Revenue</t>
  </si>
  <si>
    <t>Expenditure 2009</t>
  </si>
  <si>
    <t>LEASE</t>
  </si>
  <si>
    <t>DEPARTMENT/DIVISION</t>
  </si>
  <si>
    <t>LOCATION</t>
  </si>
  <si>
    <t>EXPIRATION</t>
  </si>
  <si>
    <t>SQUARE</t>
  </si>
  <si>
    <t>#</t>
  </si>
  <si>
    <t>(c's cip notes)</t>
  </si>
  <si>
    <t>DATE</t>
  </si>
  <si>
    <t>FEET</t>
  </si>
  <si>
    <t>rent</t>
  </si>
  <si>
    <t>op costs</t>
  </si>
  <si>
    <t>other</t>
  </si>
  <si>
    <t>payments to LTL fund</t>
  </si>
  <si>
    <t>2009 55331 revnue total</t>
  </si>
  <si>
    <t>admin fee</t>
  </si>
  <si>
    <t>payments to LTL Fund or other (see notes)</t>
  </si>
  <si>
    <t>interest to borrowing pool or other (see notes)</t>
  </si>
  <si>
    <t>admin fee to CX</t>
  </si>
  <si>
    <t>DPH/CLINIC</t>
  </si>
  <si>
    <t>2124 4TH AVE</t>
  </si>
  <si>
    <t>1483ABC</t>
  </si>
  <si>
    <t>OIRM     (floor 24)</t>
  </si>
  <si>
    <t>KEY TOWER (city)</t>
  </si>
  <si>
    <t>DCHS/PD/VA</t>
  </si>
  <si>
    <t>WALTHEW</t>
  </si>
  <si>
    <t>1665F</t>
  </si>
  <si>
    <t>DOT/DO</t>
  </si>
  <si>
    <t>KING STREET</t>
  </si>
  <si>
    <t>LEASE TO OWN</t>
  </si>
  <si>
    <t>1665G</t>
  </si>
  <si>
    <t>DOT/TRANSIT</t>
  </si>
  <si>
    <t>1665J</t>
  </si>
  <si>
    <t>DOT/ROADS</t>
  </si>
  <si>
    <t>1665I</t>
  </si>
  <si>
    <t>DOT/FLEET</t>
  </si>
  <si>
    <t>1665A</t>
  </si>
  <si>
    <t>DNRP/ADMIN</t>
  </si>
  <si>
    <t>1665B</t>
  </si>
  <si>
    <t>DNRP/WWT</t>
  </si>
  <si>
    <t>1665C</t>
  </si>
  <si>
    <t>DNRP/W&amp;LR</t>
  </si>
  <si>
    <t>1665D</t>
  </si>
  <si>
    <t>DNRP/SW</t>
  </si>
  <si>
    <t>1665H</t>
  </si>
  <si>
    <t>DNRP/PARKS</t>
  </si>
  <si>
    <t>1665E</t>
  </si>
  <si>
    <t>DNRP/GIS</t>
  </si>
  <si>
    <t>1665K</t>
  </si>
  <si>
    <t>DES/HR</t>
  </si>
  <si>
    <t>KINGSTREET</t>
  </si>
  <si>
    <t>Kingstreet budget</t>
  </si>
  <si>
    <t>DPH/EMS</t>
  </si>
  <si>
    <t>15635 272ND KENT</t>
  </si>
  <si>
    <t>1632B</t>
  </si>
  <si>
    <t>PAO</t>
  </si>
  <si>
    <t>615 W GOWE ST (KENT PROF CENTER)</t>
  </si>
  <si>
    <t>DC</t>
  </si>
  <si>
    <t>ISSAQUAH</t>
  </si>
  <si>
    <t>DPH/EH</t>
  </si>
  <si>
    <t>ALDER SQUARE BLDG</t>
  </si>
  <si>
    <t xml:space="preserve">SO </t>
  </si>
  <si>
    <t>CARILLON POINT MARINA</t>
  </si>
  <si>
    <t>OIRM/RCS</t>
  </si>
  <si>
    <t>CRISTA ANTENNA</t>
  </si>
  <si>
    <t>N/A</t>
  </si>
  <si>
    <t>1383A</t>
  </si>
  <si>
    <t xml:space="preserve">SUPCT </t>
  </si>
  <si>
    <t>EARLINGTON OFFICE PLAZA</t>
  </si>
  <si>
    <t>2011B</t>
  </si>
  <si>
    <t>SO</t>
  </si>
  <si>
    <t>VASHON</t>
  </si>
  <si>
    <t>DPH - Dental Clinic</t>
  </si>
  <si>
    <t>10700 SE 174TH RENTON</t>
  </si>
  <si>
    <t xml:space="preserve">11846 DES MOINES </t>
  </si>
  <si>
    <t>20676 72ND AVE S</t>
  </si>
  <si>
    <t>13680 NE 16th Bellevue</t>
  </si>
  <si>
    <t>DES/RALS</t>
  </si>
  <si>
    <t>821 164th Bellevue</t>
  </si>
  <si>
    <t>DNRP/WPC</t>
  </si>
  <si>
    <t>130 Nickerson</t>
  </si>
  <si>
    <t>City of Renton FPD</t>
  </si>
  <si>
    <t xml:space="preserve">3220 17th Ave. W. </t>
  </si>
  <si>
    <t>DPH</t>
  </si>
  <si>
    <t>Country Dr. Clinic</t>
  </si>
  <si>
    <t>1067B</t>
  </si>
  <si>
    <t>Grass Mountian</t>
  </si>
  <si>
    <t>renewing</t>
  </si>
  <si>
    <t>Rattlesnake Mountain</t>
  </si>
  <si>
    <t>1687M</t>
  </si>
  <si>
    <t>OIRM/WAN - (4th Floor)</t>
  </si>
  <si>
    <t>EXCHANGE BUILDING</t>
  </si>
  <si>
    <t>1687D</t>
  </si>
  <si>
    <t>DOT/TRANSIT- ACCESS - (2nd Floor)</t>
  </si>
  <si>
    <t>SUPCT</t>
  </si>
  <si>
    <t>14th &amp; Jefferson</t>
  </si>
  <si>
    <t>DPH/Dental Clinic</t>
  </si>
  <si>
    <t>12355 Lake City Way</t>
  </si>
  <si>
    <t>7064 S. 220th ST Kent</t>
  </si>
  <si>
    <t>DES/COMMUNITY SERVICE CENTER</t>
  </si>
  <si>
    <t>19145 NE Woodinville</t>
  </si>
  <si>
    <t>ANTENNA - FEDERAL WAY</t>
  </si>
  <si>
    <t>GRAYBAR</t>
  </si>
  <si>
    <t>Garybar budget</t>
  </si>
  <si>
    <t>DCHS/DASAS</t>
  </si>
  <si>
    <t>1930 Boren Ave</t>
  </si>
  <si>
    <t>12503 BELL RED ROAD</t>
  </si>
  <si>
    <t>Antenna - Pacific Lutheran University</t>
  </si>
  <si>
    <t>NA</t>
  </si>
  <si>
    <t>Auburn Medical Arts Building</t>
  </si>
  <si>
    <t>Kent Valley Business Center</t>
  </si>
  <si>
    <t>6452 S/ 144th St Tukwilia</t>
  </si>
  <si>
    <t>12629 Renton Ave S. Seattle</t>
  </si>
  <si>
    <t>39404 244TH Ave SE Enumclaw</t>
  </si>
  <si>
    <t>EXEC/BO</t>
  </si>
  <si>
    <t>BANK OF AMERICA TOWER - 32</t>
  </si>
  <si>
    <t>DES/CAO</t>
  </si>
  <si>
    <t>EXEC</t>
  </si>
  <si>
    <t>BANK OF AMERICA TOWER - 20</t>
  </si>
  <si>
    <t>BANK OF AMERICA TOWER 20</t>
  </si>
  <si>
    <t>Eagle Ridge - Snohomish PUD</t>
  </si>
  <si>
    <t>YWCA Health Clinic - 2024 3rd ave Seattle</t>
  </si>
  <si>
    <t>Harborview</t>
  </si>
  <si>
    <t>401 Broadway</t>
  </si>
  <si>
    <t>orcas</t>
  </si>
  <si>
    <t>DOT/FLEET Surplus Property</t>
  </si>
  <si>
    <t>Orcas</t>
  </si>
  <si>
    <t>DOT/Motor Pool</t>
  </si>
  <si>
    <t>FW Fire Dept - 3700 S. 320th St, Federal Way &amp; 2238 s. 223rd</t>
  </si>
  <si>
    <t>Ramdas Investment - 16420 SE 128th st Renton</t>
  </si>
  <si>
    <t>12700 Aurora Ave N.</t>
  </si>
  <si>
    <t>1420 Petrovitsky Rd Renton - storefront</t>
  </si>
  <si>
    <t>DNRP/WSU Extension</t>
  </si>
  <si>
    <t>City of Renton 200 Mill Ave S. Renton</t>
  </si>
  <si>
    <t>OIRM</t>
  </si>
  <si>
    <t xml:space="preserve">Sabey - 12101 TUKWILA INT BLVD - </t>
  </si>
  <si>
    <t>DCHS/WT</t>
  </si>
  <si>
    <t>RADOVICH - 500 SW 7TH ST. RENTON</t>
  </si>
  <si>
    <t>919 Grady Way, Renton</t>
  </si>
  <si>
    <t>MOSCHEL - 233 SOUTH 2ND AVE KENT</t>
  </si>
  <si>
    <t>DAJD/CC</t>
  </si>
  <si>
    <t>PREFONTAINE - 110 PREFONTAINE</t>
  </si>
  <si>
    <t>CITY OF SEATTLE</t>
  </si>
  <si>
    <t>901 Auburn Wy N.</t>
  </si>
  <si>
    <t>3311 s 120th pl seattle</t>
  </si>
  <si>
    <t>CHINOOK</t>
  </si>
  <si>
    <t>DPH STORAGE &amp; BURN IN</t>
  </si>
  <si>
    <t>LEVELS A, B, &amp; C</t>
  </si>
  <si>
    <t>FBOD STORAGE &amp; BURN IN</t>
  </si>
  <si>
    <t>DCHS STORAGE &amp; BURN IN</t>
  </si>
  <si>
    <t>OIRM STORAGE &amp; BURN IN</t>
  </si>
  <si>
    <t>DES/FMD</t>
  </si>
  <si>
    <t>C&amp;B LEVEL</t>
  </si>
  <si>
    <t>DES/RALS/MAIL</t>
  </si>
  <si>
    <t>B LEVEL</t>
  </si>
  <si>
    <t>Council/Ombudsman</t>
  </si>
  <si>
    <t>NCOB 1st Floor</t>
  </si>
  <si>
    <t>DES/Board of Ethics</t>
  </si>
  <si>
    <t>FMD/PRINTSHOP</t>
  </si>
  <si>
    <t>Finance/BROS</t>
  </si>
  <si>
    <t>NCOB 2nd Floor</t>
  </si>
  <si>
    <t>Finance/PAY</t>
  </si>
  <si>
    <t>FINANCE</t>
  </si>
  <si>
    <t>NCOB 3RD FLOOR</t>
  </si>
  <si>
    <t>DCHS</t>
  </si>
  <si>
    <t>NCOB 4th Floor</t>
  </si>
  <si>
    <t>NCOB 5th Floor</t>
  </si>
  <si>
    <t>NCOB 6th Floor</t>
  </si>
  <si>
    <t>NCOB 7th Floor</t>
  </si>
  <si>
    <t>Internal Support</t>
  </si>
  <si>
    <t>ABT</t>
  </si>
  <si>
    <t>NCOB 8th Floor</t>
  </si>
  <si>
    <t>NCOB 9th Floor</t>
  </si>
  <si>
    <t>NCOB 10th Floor</t>
  </si>
  <si>
    <t>NCOB 11th Floor</t>
  </si>
  <si>
    <t>NCOB 12th Floor</t>
  </si>
  <si>
    <t>NCOB 13th Floor</t>
  </si>
  <si>
    <t>Chinook Budget</t>
  </si>
  <si>
    <t>Chinook</t>
  </si>
  <si>
    <t>Revenue</t>
  </si>
  <si>
    <t>Expenditure</t>
  </si>
  <si>
    <t>operating</t>
  </si>
  <si>
    <t>payments</t>
  </si>
  <si>
    <t>total</t>
  </si>
  <si>
    <t>grand total</t>
  </si>
  <si>
    <t>contingency</t>
  </si>
  <si>
    <t>total expenditure authority</t>
  </si>
  <si>
    <t>garage</t>
  </si>
  <si>
    <t>Total</t>
  </si>
  <si>
    <r>
      <t>DPH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-terminating replaced by lease 1882</t>
    </r>
  </si>
  <si>
    <r>
      <t>EXEC/BRED</t>
    </r>
    <r>
      <rPr>
        <b/>
        <sz val="10"/>
        <color indexed="10"/>
        <rFont val="Arial"/>
        <family val="2"/>
      </rPr>
      <t xml:space="preserve"> move to yesler however there is still a repayment to the fund</t>
    </r>
  </si>
  <si>
    <r>
      <t>RALS/Records Management</t>
    </r>
    <r>
      <rPr>
        <b/>
        <sz val="10"/>
        <color indexed="10"/>
        <rFont val="Arial"/>
        <family val="2"/>
      </rPr>
      <t xml:space="preserve"> move to graybar</t>
    </r>
  </si>
  <si>
    <r>
      <t>OIRM/RCS</t>
    </r>
    <r>
      <rPr>
        <b/>
        <sz val="10"/>
        <rFont val="Arial"/>
        <family val="2"/>
      </rPr>
      <t xml:space="preserve"> lease terminated</t>
    </r>
  </si>
  <si>
    <r>
      <t xml:space="preserve">DCHS/WT </t>
    </r>
    <r>
      <rPr>
        <b/>
        <sz val="10"/>
        <color indexed="10"/>
        <rFont val="Arial"/>
        <family val="2"/>
      </rPr>
      <t>terminating</t>
    </r>
  </si>
  <si>
    <r>
      <t>DES/ELECTIONS</t>
    </r>
    <r>
      <rPr>
        <b/>
        <sz val="10"/>
        <color indexed="10"/>
        <rFont val="Arial"/>
        <family val="2"/>
      </rPr>
      <t xml:space="preserve"> purchase in late 2008</t>
    </r>
  </si>
  <si>
    <t>RATES</t>
  </si>
  <si>
    <t>office</t>
  </si>
  <si>
    <t>storage</t>
  </si>
  <si>
    <t>vacant office space</t>
  </si>
  <si>
    <t>Retail - credit union</t>
  </si>
  <si>
    <t>Retail - coffee shop</t>
  </si>
  <si>
    <t>Daycare</t>
  </si>
  <si>
    <t>Floor / Space</t>
  </si>
  <si>
    <t>Usable Office Area and Store Area</t>
  </si>
  <si>
    <t>Basic Ofice Area and Store Area</t>
  </si>
  <si>
    <t>Rentable Office Area and Store Area</t>
  </si>
  <si>
    <t>FBOD BROS</t>
  </si>
  <si>
    <t>FBOD PAY</t>
  </si>
  <si>
    <t>FBOD</t>
  </si>
  <si>
    <t>FBOD Storage</t>
  </si>
  <si>
    <t>OIRM Storage</t>
  </si>
  <si>
    <t>FMD-PRINT</t>
  </si>
  <si>
    <t>FMD</t>
  </si>
  <si>
    <t>FMD Storage</t>
  </si>
  <si>
    <t>DCHS Storage</t>
  </si>
  <si>
    <t>DPH Storage</t>
  </si>
  <si>
    <t>BOE</t>
  </si>
  <si>
    <t>OMBUD</t>
  </si>
  <si>
    <t>RALS mail room</t>
  </si>
  <si>
    <t>vacant</t>
  </si>
  <si>
    <t>Retail</t>
  </si>
  <si>
    <t>DAYCARE</t>
  </si>
  <si>
    <t>C-Level</t>
  </si>
  <si>
    <t>B-Level</t>
  </si>
  <si>
    <t>BURN</t>
  </si>
  <si>
    <t>RALS</t>
  </si>
  <si>
    <t>A-Level</t>
  </si>
  <si>
    <t>Omsbud</t>
  </si>
  <si>
    <t>Fin Bros</t>
  </si>
  <si>
    <t>Fin Pay</t>
  </si>
  <si>
    <t>Fin Proc</t>
  </si>
  <si>
    <t>VACANT</t>
  </si>
  <si>
    <t>LTL expenditure</t>
  </si>
  <si>
    <t>ANNUAL RENT</t>
  </si>
  <si>
    <t>checking</t>
  </si>
  <si>
    <t>bank fee's</t>
  </si>
  <si>
    <t>total rev</t>
  </si>
  <si>
    <t>Credit Union rev</t>
  </si>
  <si>
    <t>retail rev</t>
  </si>
  <si>
    <t>coffee shop rev</t>
  </si>
  <si>
    <t>agencey rev</t>
  </si>
  <si>
    <t>daycare rev</t>
  </si>
  <si>
    <t>total expenditure 2009</t>
  </si>
  <si>
    <t>LTL revenue</t>
  </si>
  <si>
    <t>OMBUDS</t>
  </si>
  <si>
    <t>Vacant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</si>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</sst>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b/>
      <strike/>
      <sz val="8"/>
      <name val="Arial"/>
      <family val="2"/>
    </font>
    <font>
      <b/>
      <strike/>
      <sz val="10"/>
      <color indexed="10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trike/>
      <sz val="10"/>
      <color indexed="12"/>
      <name val="Arial"/>
      <family val="2"/>
    </font>
    <font>
      <b/>
      <strike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u val="singleAccounting"/>
      <sz val="10"/>
      <name val="Arial"/>
      <family val="2"/>
    </font>
    <font>
      <sz val="10"/>
      <color indexed="4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sz val="10"/>
      <color indexed="57"/>
      <name val="Tahoma"/>
      <family val="2"/>
    </font>
    <font>
      <b/>
      <sz val="8"/>
      <name val="Tahoma"/>
      <family val="2"/>
    </font>
    <font>
      <b/>
      <sz val="8"/>
      <color indexed="48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20"/>
      <name val="Tahoma"/>
      <family val="2"/>
    </font>
    <font>
      <sz val="8"/>
      <color indexed="48"/>
      <name val="Tahoma"/>
      <family val="2"/>
    </font>
    <font>
      <sz val="8"/>
      <color indexed="12"/>
      <name val="Tahoma"/>
      <family val="2"/>
    </font>
    <font>
      <sz val="8"/>
      <color indexed="11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sz val="10"/>
      <color indexed="48"/>
      <name val="Tahoma"/>
      <family val="2"/>
    </font>
    <font>
      <sz val="10"/>
      <color indexed="12"/>
      <name val="Tahoma"/>
      <family val="2"/>
    </font>
    <font>
      <sz val="10"/>
      <color indexed="20"/>
      <name val="Tahoma"/>
      <family val="2"/>
    </font>
    <font>
      <b/>
      <sz val="10"/>
      <color indexed="57"/>
      <name val="Tahoma"/>
      <family val="2"/>
    </font>
    <font>
      <sz val="10"/>
      <color indexed="61"/>
      <name val="Tahoma"/>
      <family val="2"/>
    </font>
    <font>
      <sz val="8"/>
      <color indexed="57"/>
      <name val="Tahoma"/>
      <family val="2"/>
    </font>
    <font>
      <sz val="8"/>
      <color indexed="61"/>
      <name val="Tahoma"/>
      <family val="2"/>
    </font>
    <font>
      <b/>
      <sz val="10"/>
      <color indexed="14"/>
      <name val="Tahoma"/>
      <family val="2"/>
    </font>
    <font>
      <b/>
      <sz val="10"/>
      <color indexed="61"/>
      <name val="Tahoma"/>
      <family val="2"/>
    </font>
    <font>
      <b/>
      <sz val="8"/>
      <color indexed="57"/>
      <name val="Tahoma"/>
      <family val="2"/>
    </font>
    <font>
      <b/>
      <sz val="8"/>
      <color indexed="20"/>
      <name val="Tahoma"/>
      <family val="2"/>
    </font>
    <font>
      <b/>
      <sz val="8"/>
      <color indexed="15"/>
      <name val="Tahoma"/>
      <family val="2"/>
    </font>
    <font>
      <b/>
      <sz val="10"/>
      <color indexed="53"/>
      <name val="Tahoma"/>
      <family val="2"/>
    </font>
    <font>
      <b/>
      <sz val="10"/>
      <color indexed="48"/>
      <name val="Tahoma"/>
      <family val="2"/>
    </font>
    <font>
      <sz val="10"/>
      <color indexed="50"/>
      <name val="Tahoma"/>
      <family val="2"/>
    </font>
    <font>
      <sz val="8"/>
      <color indexed="50"/>
      <name val="Tahoma"/>
      <family val="2"/>
    </font>
    <font>
      <b/>
      <sz val="8"/>
      <color indexed="17"/>
      <name val="Tahoma"/>
      <family val="2"/>
    </font>
    <font>
      <sz val="10"/>
      <color indexed="21"/>
      <name val="Tahoma"/>
      <family val="2"/>
    </font>
    <font>
      <sz val="8"/>
      <color indexed="21"/>
      <name val="Tahoma"/>
      <family val="2"/>
    </font>
    <font>
      <sz val="8"/>
      <color indexed="20"/>
      <name val="Tahom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62" fillId="3" borderId="0" applyNumberFormat="0" applyBorder="0" applyAlignment="0" applyProtection="0"/>
    <xf numFmtId="0" fontId="66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4" fillId="7" borderId="1" applyNumberFormat="0" applyAlignment="0" applyProtection="0"/>
    <xf numFmtId="0" fontId="67" fillId="0" borderId="6" applyNumberFormat="0" applyFill="0" applyAlignment="0" applyProtection="0"/>
    <xf numFmtId="0" fontId="63" fillId="22" borderId="0" applyNumberFormat="0" applyBorder="0" applyAlignment="0" applyProtection="0"/>
    <xf numFmtId="0" fontId="0" fillId="23" borderId="7" applyNumberFormat="0" applyFont="0" applyAlignment="0" applyProtection="0"/>
    <xf numFmtId="0" fontId="65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4" fontId="0" fillId="24" borderId="0" xfId="44" applyFont="1" applyFill="1" applyBorder="1" applyAlignment="1">
      <alignment/>
    </xf>
    <xf numFmtId="44" fontId="0" fillId="22" borderId="10" xfId="44" applyFont="1" applyFill="1" applyBorder="1" applyAlignment="1">
      <alignment/>
    </xf>
    <xf numFmtId="44" fontId="0" fillId="4" borderId="0" xfId="44" applyFont="1" applyFill="1" applyBorder="1" applyAlignment="1">
      <alignment/>
    </xf>
    <xf numFmtId="44" fontId="0" fillId="22" borderId="0" xfId="44" applyFont="1" applyFill="1" applyBorder="1" applyAlignment="1">
      <alignment/>
    </xf>
    <xf numFmtId="1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" fillId="22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0" xfId="0" applyNumberFormat="1" applyFont="1" applyFill="1" applyBorder="1" applyAlignment="1">
      <alignment horizontal="center" wrapText="1"/>
    </xf>
    <xf numFmtId="0" fontId="2" fillId="22" borderId="15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7" xfId="0" applyFont="1" applyFill="1" applyBorder="1" applyAlignment="1">
      <alignment horizontal="center" wrapText="1"/>
    </xf>
    <xf numFmtId="164" fontId="2" fillId="22" borderId="1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0" xfId="0" applyNumberFormat="1" applyFont="1" applyFill="1" applyBorder="1" applyAlignment="1">
      <alignment horizontal="center" wrapText="1"/>
    </xf>
    <xf numFmtId="0" fontId="2" fillId="22" borderId="18" xfId="0" applyFont="1" applyFill="1" applyBorder="1" applyAlignment="1">
      <alignment/>
    </xf>
    <xf numFmtId="0" fontId="2" fillId="22" borderId="18" xfId="0" applyFont="1" applyFill="1" applyBorder="1" applyAlignment="1">
      <alignment horizontal="left"/>
    </xf>
    <xf numFmtId="0" fontId="2" fillId="22" borderId="18" xfId="0" applyFont="1" applyFill="1" applyBorder="1" applyAlignment="1">
      <alignment wrapText="1"/>
    </xf>
    <xf numFmtId="0" fontId="3" fillId="22" borderId="18" xfId="0" applyFont="1" applyFill="1" applyBorder="1" applyAlignment="1">
      <alignment wrapText="1"/>
    </xf>
    <xf numFmtId="14" fontId="2" fillId="22" borderId="18" xfId="0" applyNumberFormat="1" applyFont="1" applyFill="1" applyBorder="1" applyAlignment="1">
      <alignment/>
    </xf>
    <xf numFmtId="0" fontId="2" fillId="22" borderId="18" xfId="0" applyNumberFormat="1" applyFont="1" applyFill="1" applyBorder="1" applyAlignment="1">
      <alignment/>
    </xf>
    <xf numFmtId="44" fontId="2" fillId="24" borderId="18" xfId="44" applyFont="1" applyFill="1" applyBorder="1" applyAlignment="1">
      <alignment/>
    </xf>
    <xf numFmtId="44" fontId="2" fillId="22" borderId="18" xfId="44" applyFont="1" applyFill="1" applyBorder="1" applyAlignment="1">
      <alignment/>
    </xf>
    <xf numFmtId="44" fontId="2" fillId="4" borderId="18" xfId="44" applyFont="1" applyFill="1" applyBorder="1" applyAlignment="1">
      <alignment/>
    </xf>
    <xf numFmtId="44" fontId="2" fillId="4" borderId="19" xfId="44" applyFont="1" applyFill="1" applyBorder="1" applyAlignment="1">
      <alignment/>
    </xf>
    <xf numFmtId="14" fontId="3" fillId="22" borderId="18" xfId="0" applyNumberFormat="1" applyFont="1" applyFill="1" applyBorder="1" applyAlignment="1">
      <alignment/>
    </xf>
    <xf numFmtId="1" fontId="2" fillId="22" borderId="18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44" fontId="2" fillId="4" borderId="18" xfId="0" applyNumberFormat="1" applyFont="1" applyFill="1" applyBorder="1" applyAlignment="1">
      <alignment/>
    </xf>
    <xf numFmtId="44" fontId="2" fillId="24" borderId="0" xfId="44" applyFont="1" applyFill="1" applyBorder="1" applyAlignment="1">
      <alignment/>
    </xf>
    <xf numFmtId="0" fontId="2" fillId="22" borderId="18" xfId="0" applyNumberFormat="1" applyFont="1" applyFill="1" applyBorder="1" applyAlignment="1">
      <alignment horizontal="right"/>
    </xf>
    <xf numFmtId="14" fontId="3" fillId="22" borderId="18" xfId="0" applyNumberFormat="1" applyFont="1" applyFill="1" applyBorder="1" applyAlignment="1">
      <alignment horizontal="right"/>
    </xf>
    <xf numFmtId="3" fontId="2" fillId="22" borderId="18" xfId="0" applyNumberFormat="1" applyFont="1" applyFill="1" applyBorder="1" applyAlignment="1">
      <alignment/>
    </xf>
    <xf numFmtId="44" fontId="2" fillId="24" borderId="18" xfId="44" applyNumberFormat="1" applyFont="1" applyFill="1" applyBorder="1" applyAlignment="1">
      <alignment/>
    </xf>
    <xf numFmtId="0" fontId="4" fillId="22" borderId="18" xfId="0" applyFont="1" applyFill="1" applyBorder="1" applyAlignment="1">
      <alignment horizontal="left"/>
    </xf>
    <xf numFmtId="0" fontId="4" fillId="22" borderId="18" xfId="0" applyFont="1" applyFill="1" applyBorder="1" applyAlignment="1">
      <alignment wrapText="1"/>
    </xf>
    <xf numFmtId="0" fontId="6" fillId="22" borderId="18" xfId="0" applyFont="1" applyFill="1" applyBorder="1" applyAlignment="1">
      <alignment wrapText="1"/>
    </xf>
    <xf numFmtId="0" fontId="3" fillId="22" borderId="18" xfId="0" applyFont="1" applyFill="1" applyBorder="1" applyAlignment="1">
      <alignment/>
    </xf>
    <xf numFmtId="0" fontId="7" fillId="22" borderId="18" xfId="0" applyFont="1" applyFill="1" applyBorder="1" applyAlignment="1">
      <alignment horizontal="left"/>
    </xf>
    <xf numFmtId="0" fontId="7" fillId="22" borderId="18" xfId="0" applyFont="1" applyFill="1" applyBorder="1" applyAlignment="1">
      <alignment/>
    </xf>
    <xf numFmtId="0" fontId="8" fillId="22" borderId="18" xfId="0" applyFont="1" applyFill="1" applyBorder="1" applyAlignment="1">
      <alignment/>
    </xf>
    <xf numFmtId="0" fontId="7" fillId="22" borderId="18" xfId="0" applyFont="1" applyFill="1" applyBorder="1" applyAlignment="1">
      <alignment wrapText="1"/>
    </xf>
    <xf numFmtId="0" fontId="2" fillId="22" borderId="18" xfId="0" applyNumberFormat="1" applyFont="1" applyFill="1" applyBorder="1" applyAlignment="1">
      <alignment/>
    </xf>
    <xf numFmtId="0" fontId="4" fillId="22" borderId="18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2" fillId="22" borderId="18" xfId="0" applyNumberFormat="1" applyFont="1" applyFill="1" applyBorder="1" applyAlignment="1">
      <alignment horizontal="center"/>
    </xf>
    <xf numFmtId="14" fontId="2" fillId="22" borderId="18" xfId="0" applyNumberFormat="1" applyFont="1" applyFill="1" applyBorder="1" applyAlignment="1">
      <alignment horizontal="center"/>
    </xf>
    <xf numFmtId="44" fontId="2" fillId="22" borderId="19" xfId="44" applyFont="1" applyFill="1" applyBorder="1" applyAlignment="1">
      <alignment/>
    </xf>
    <xf numFmtId="0" fontId="2" fillId="24" borderId="18" xfId="0" applyFont="1" applyFill="1" applyBorder="1" applyAlignment="1">
      <alignment/>
    </xf>
    <xf numFmtId="44" fontId="2" fillId="4" borderId="20" xfId="44" applyFont="1" applyFill="1" applyBorder="1" applyAlignment="1">
      <alignment/>
    </xf>
    <xf numFmtId="44" fontId="2" fillId="4" borderId="21" xfId="44" applyFont="1" applyFill="1" applyBorder="1" applyAlignment="1">
      <alignment/>
    </xf>
    <xf numFmtId="44" fontId="2" fillId="22" borderId="20" xfId="44" applyFont="1" applyFill="1" applyBorder="1" applyAlignment="1">
      <alignment/>
    </xf>
    <xf numFmtId="14" fontId="2" fillId="22" borderId="18" xfId="0" applyNumberFormat="1" applyFont="1" applyFill="1" applyBorder="1" applyAlignment="1">
      <alignment horizontal="right"/>
    </xf>
    <xf numFmtId="0" fontId="9" fillId="22" borderId="18" xfId="0" applyFont="1" applyFill="1" applyBorder="1" applyAlignment="1">
      <alignment horizontal="left"/>
    </xf>
    <xf numFmtId="0" fontId="9" fillId="22" borderId="18" xfId="0" applyFont="1" applyFill="1" applyBorder="1" applyAlignment="1">
      <alignment/>
    </xf>
    <xf numFmtId="0" fontId="10" fillId="22" borderId="18" xfId="0" applyFont="1" applyFill="1" applyBorder="1" applyAlignment="1">
      <alignment wrapText="1"/>
    </xf>
    <xf numFmtId="14" fontId="9" fillId="22" borderId="18" xfId="0" applyNumberFormat="1" applyFont="1" applyFill="1" applyBorder="1" applyAlignment="1">
      <alignment horizontal="right"/>
    </xf>
    <xf numFmtId="0" fontId="9" fillId="22" borderId="18" xfId="0" applyNumberFormat="1" applyFont="1" applyFill="1" applyBorder="1" applyAlignment="1">
      <alignment horizontal="center"/>
    </xf>
    <xf numFmtId="44" fontId="9" fillId="24" borderId="18" xfId="44" applyFont="1" applyFill="1" applyBorder="1" applyAlignment="1">
      <alignment/>
    </xf>
    <xf numFmtId="44" fontId="9" fillId="4" borderId="20" xfId="44" applyFont="1" applyFill="1" applyBorder="1" applyAlignment="1">
      <alignment/>
    </xf>
    <xf numFmtId="44" fontId="9" fillId="4" borderId="21" xfId="44" applyFont="1" applyFill="1" applyBorder="1" applyAlignment="1">
      <alignment/>
    </xf>
    <xf numFmtId="44" fontId="9" fillId="22" borderId="20" xfId="44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2" borderId="18" xfId="0" applyFont="1" applyFill="1" applyBorder="1" applyAlignment="1">
      <alignment horizontal="left"/>
    </xf>
    <xf numFmtId="0" fontId="11" fillId="22" borderId="18" xfId="0" applyFont="1" applyFill="1" applyBorder="1" applyAlignment="1">
      <alignment wrapText="1"/>
    </xf>
    <xf numFmtId="0" fontId="12" fillId="22" borderId="18" xfId="0" applyFont="1" applyFill="1" applyBorder="1" applyAlignment="1">
      <alignment wrapText="1"/>
    </xf>
    <xf numFmtId="0" fontId="9" fillId="22" borderId="0" xfId="0" applyFont="1" applyFill="1" applyBorder="1" applyAlignment="1">
      <alignment/>
    </xf>
    <xf numFmtId="1" fontId="9" fillId="22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10" fillId="22" borderId="18" xfId="0" applyNumberFormat="1" applyFont="1" applyFill="1" applyBorder="1" applyAlignment="1">
      <alignment horizontal="right"/>
    </xf>
    <xf numFmtId="0" fontId="5" fillId="22" borderId="18" xfId="0" applyFont="1" applyFill="1" applyBorder="1" applyAlignment="1">
      <alignment horizontal="left"/>
    </xf>
    <xf numFmtId="0" fontId="5" fillId="22" borderId="18" xfId="0" applyFont="1" applyFill="1" applyBorder="1" applyAlignment="1">
      <alignment/>
    </xf>
    <xf numFmtId="0" fontId="13" fillId="22" borderId="18" xfId="0" applyFont="1" applyFill="1" applyBorder="1" applyAlignment="1">
      <alignment wrapText="1"/>
    </xf>
    <xf numFmtId="14" fontId="13" fillId="22" borderId="18" xfId="0" applyNumberFormat="1" applyFont="1" applyFill="1" applyBorder="1" applyAlignment="1">
      <alignment horizontal="right"/>
    </xf>
    <xf numFmtId="1" fontId="5" fillId="22" borderId="18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44" fontId="0" fillId="24" borderId="18" xfId="44" applyFont="1" applyFill="1" applyBorder="1" applyAlignment="1">
      <alignment/>
    </xf>
    <xf numFmtId="44" fontId="0" fillId="22" borderId="18" xfId="44" applyFont="1" applyFill="1" applyBorder="1" applyAlignment="1">
      <alignment/>
    </xf>
    <xf numFmtId="44" fontId="0" fillId="4" borderId="18" xfId="44" applyFont="1" applyFill="1" applyBorder="1" applyAlignment="1">
      <alignment/>
    </xf>
    <xf numFmtId="10" fontId="0" fillId="22" borderId="0" xfId="44" applyNumberFormat="1" applyFont="1" applyFill="1" applyBorder="1" applyAlignment="1">
      <alignment/>
    </xf>
    <xf numFmtId="44" fontId="0" fillId="24" borderId="0" xfId="44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4" fontId="16" fillId="24" borderId="0" xfId="44" applyFont="1" applyFill="1" applyBorder="1" applyAlignment="1">
      <alignment/>
    </xf>
    <xf numFmtId="9" fontId="0" fillId="24" borderId="0" xfId="44" applyNumberFormat="1" applyFont="1" applyFill="1" applyBorder="1" applyAlignment="1">
      <alignment horizontal="left"/>
    </xf>
    <xf numFmtId="44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4" fontId="14" fillId="24" borderId="0" xfId="44" applyFont="1" applyFill="1" applyBorder="1" applyAlignment="1">
      <alignment/>
    </xf>
    <xf numFmtId="9" fontId="14" fillId="24" borderId="0" xfId="44" applyNumberFormat="1" applyFont="1" applyFill="1" applyBorder="1" applyAlignment="1">
      <alignment/>
    </xf>
    <xf numFmtId="44" fontId="14" fillId="4" borderId="0" xfId="44" applyFont="1" applyFill="1" applyBorder="1" applyAlignment="1">
      <alignment/>
    </xf>
    <xf numFmtId="44" fontId="14" fillId="22" borderId="0" xfId="44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4" fontId="0" fillId="22" borderId="11" xfId="44" applyFont="1" applyFill="1" applyBorder="1" applyAlignment="1">
      <alignment/>
    </xf>
    <xf numFmtId="44" fontId="14" fillId="0" borderId="0" xfId="44" applyFont="1" applyAlignment="1">
      <alignment/>
    </xf>
    <xf numFmtId="1" fontId="0" fillId="0" borderId="0" xfId="0" applyNumberFormat="1" applyAlignment="1">
      <alignment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44" fontId="54" fillId="0" borderId="0" xfId="44" applyFont="1" applyAlignment="1">
      <alignment/>
    </xf>
    <xf numFmtId="44" fontId="55" fillId="0" borderId="0" xfId="44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4" borderId="0" xfId="0" applyNumberFormat="1" applyFill="1" applyAlignment="1">
      <alignment wrapText="1"/>
    </xf>
    <xf numFmtId="1" fontId="0" fillId="24" borderId="0" xfId="0" applyNumberFormat="1" applyFill="1" applyAlignment="1">
      <alignment wrapText="1"/>
    </xf>
    <xf numFmtId="1" fontId="0" fillId="8" borderId="0" xfId="0" applyNumberFormat="1" applyFill="1" applyAlignment="1">
      <alignment wrapText="1"/>
    </xf>
    <xf numFmtId="1" fontId="0" fillId="5" borderId="0" xfId="0" applyNumberFormat="1" applyFill="1" applyAlignment="1">
      <alignment wrapText="1"/>
    </xf>
    <xf numFmtId="1" fontId="0" fillId="11" borderId="0" xfId="0" applyNumberFormat="1" applyFill="1" applyAlignment="1">
      <alignment wrapText="1"/>
    </xf>
    <xf numFmtId="165" fontId="0" fillId="0" borderId="0" xfId="42" applyNumberFormat="1" applyFont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44" fontId="2" fillId="0" borderId="0" xfId="44" applyFont="1" applyFill="1" applyAlignment="1">
      <alignment/>
    </xf>
    <xf numFmtId="165" fontId="2" fillId="0" borderId="0" xfId="42" applyNumberFormat="1" applyFont="1" applyFill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44" fontId="16" fillId="0" borderId="0" xfId="44" applyFont="1" applyAlignment="1">
      <alignment/>
    </xf>
    <xf numFmtId="1" fontId="0" fillId="0" borderId="17" xfId="0" applyNumberFormat="1" applyBorder="1" applyAlignment="1">
      <alignment/>
    </xf>
    <xf numFmtId="44" fontId="0" fillId="0" borderId="24" xfId="44" applyFont="1" applyBorder="1" applyAlignment="1">
      <alignment/>
    </xf>
    <xf numFmtId="1" fontId="0" fillId="0" borderId="24" xfId="0" applyNumberFormat="1" applyBorder="1" applyAlignment="1">
      <alignment/>
    </xf>
    <xf numFmtId="44" fontId="0" fillId="0" borderId="0" xfId="0" applyNumberFormat="1" applyAlignment="1">
      <alignment/>
    </xf>
    <xf numFmtId="44" fontId="16" fillId="0" borderId="24" xfId="44" applyFont="1" applyBorder="1" applyAlignment="1">
      <alignment/>
    </xf>
    <xf numFmtId="1" fontId="0" fillId="0" borderId="25" xfId="0" applyNumberFormat="1" applyBorder="1" applyAlignment="1">
      <alignment/>
    </xf>
    <xf numFmtId="44" fontId="0" fillId="0" borderId="26" xfId="44" applyFont="1" applyBorder="1" applyAlignment="1">
      <alignment/>
    </xf>
    <xf numFmtId="44" fontId="16" fillId="0" borderId="0" xfId="0" applyNumberFormat="1" applyFont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4" borderId="27" xfId="0" applyNumberFormat="1" applyFont="1" applyFill="1" applyBorder="1" applyAlignment="1">
      <alignment horizontal="center"/>
    </xf>
    <xf numFmtId="0" fontId="2" fillId="4" borderId="23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ucetb\Local%20Settings\Temporary%20Internet%20Files\OLK1\2009%20(2)%20ltl%20fund%20final%20w%20alt%20ncob%20sheet%20-%20ALL%20UPDATES%2010-2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55144"/>
      <sheetName val="55331"/>
      <sheetName val="2009 "/>
      <sheetName val="NCOB"/>
      <sheetName val="non county revenue"/>
      <sheetName val="des"/>
      <sheetName val="OIRM"/>
      <sheetName val="dchs"/>
      <sheetName val="exec"/>
      <sheetName val="brb"/>
      <sheetName val="cncl"/>
      <sheetName val="dajd"/>
      <sheetName val="so"/>
      <sheetName val="pao"/>
      <sheetName val="supct"/>
      <sheetName val="dc"/>
      <sheetName val="dph"/>
      <sheetName val="dot"/>
      <sheetName val="dnrp"/>
      <sheetName val="2009 fee"/>
      <sheetName val="alt sq ft ncob"/>
      <sheetName val="antenna"/>
      <sheetName val="rates sheet KS"/>
      <sheetName val="new kingstreet 2009 draft"/>
      <sheetName val="rates sheet graybar"/>
      <sheetName val="BOAT"/>
      <sheetName val="new exc rates sheet"/>
      <sheetName val="401 broadway"/>
      <sheetName val="lynn trust op cost hist"/>
      <sheetName val="CPI rates &amp; misc"/>
      <sheetName val="admin fee"/>
      <sheetName val="TK build"/>
      <sheetName val="1813 rates"/>
      <sheetName val="rates sheet key tower"/>
      <sheetName val="boat elections space"/>
    </sheetNames>
    <sheetDataSet>
      <sheetData sheetId="4">
        <row r="1">
          <cell r="C1">
            <v>21</v>
          </cell>
        </row>
        <row r="29">
          <cell r="P29">
            <v>22955.9</v>
          </cell>
        </row>
        <row r="30">
          <cell r="P30">
            <v>22976</v>
          </cell>
        </row>
        <row r="31">
          <cell r="K31">
            <v>21095.8</v>
          </cell>
        </row>
        <row r="33">
          <cell r="K33">
            <v>22888.7</v>
          </cell>
        </row>
        <row r="40">
          <cell r="R40">
            <v>22906.2</v>
          </cell>
        </row>
        <row r="41">
          <cell r="R41">
            <v>22803.8</v>
          </cell>
        </row>
        <row r="42">
          <cell r="R42">
            <v>22803.8</v>
          </cell>
        </row>
        <row r="43">
          <cell r="R43">
            <v>22803.8</v>
          </cell>
        </row>
        <row r="44">
          <cell r="R44">
            <v>22218.4</v>
          </cell>
        </row>
        <row r="45">
          <cell r="G45">
            <v>6439.3</v>
          </cell>
          <cell r="H45">
            <v>11738.6</v>
          </cell>
          <cell r="I45">
            <v>22907.6</v>
          </cell>
          <cell r="J45">
            <v>452.7166666666667</v>
          </cell>
          <cell r="L45">
            <v>791.6166666666667</v>
          </cell>
          <cell r="M45">
            <v>1823.1</v>
          </cell>
          <cell r="O45">
            <v>2346</v>
          </cell>
          <cell r="Q45">
            <v>592.7166666666667</v>
          </cell>
          <cell r="S45">
            <v>1191.95</v>
          </cell>
          <cell r="T45">
            <v>791.2</v>
          </cell>
          <cell r="U45">
            <v>4588.5</v>
          </cell>
          <cell r="V45">
            <v>0</v>
          </cell>
          <cell r="W45">
            <v>204.6</v>
          </cell>
          <cell r="X45">
            <v>1886.9</v>
          </cell>
          <cell r="Y45">
            <v>10884.1</v>
          </cell>
          <cell r="Z45">
            <v>11828.3</v>
          </cell>
          <cell r="AB45">
            <v>3522.8999999999996</v>
          </cell>
        </row>
        <row r="47">
          <cell r="G47">
            <v>135225.30000000002</v>
          </cell>
          <cell r="H47">
            <v>246510.6</v>
          </cell>
          <cell r="I47">
            <v>481059.6</v>
          </cell>
          <cell r="J47">
            <v>9393.870833333334</v>
          </cell>
          <cell r="L47">
            <v>16426.045833333334</v>
          </cell>
          <cell r="M47">
            <v>38285.1</v>
          </cell>
          <cell r="O47">
            <v>48679.5</v>
          </cell>
          <cell r="Q47">
            <v>12298.870833333334</v>
          </cell>
          <cell r="S47">
            <v>24732.9625</v>
          </cell>
          <cell r="T47">
            <v>16615.2</v>
          </cell>
          <cell r="U47">
            <v>96358.5</v>
          </cell>
          <cell r="V47">
            <v>0</v>
          </cell>
          <cell r="W47">
            <v>4296.599999999999</v>
          </cell>
          <cell r="Y47">
            <v>228566.1</v>
          </cell>
          <cell r="Z47">
            <v>248394.3</v>
          </cell>
          <cell r="AB47">
            <v>70458</v>
          </cell>
        </row>
        <row r="51">
          <cell r="B51">
            <v>-5862412</v>
          </cell>
        </row>
        <row r="72">
          <cell r="B72">
            <v>127013.85000000056</v>
          </cell>
        </row>
      </sheetData>
      <sheetData sheetId="20">
        <row r="4">
          <cell r="A4">
            <v>304984</v>
          </cell>
        </row>
      </sheetData>
      <sheetData sheetId="21">
        <row r="32">
          <cell r="C32">
            <v>1543.1</v>
          </cell>
          <cell r="D32">
            <v>1663.7</v>
          </cell>
          <cell r="E32">
            <v>1886.9</v>
          </cell>
        </row>
        <row r="33">
          <cell r="C33">
            <v>17252.8</v>
          </cell>
          <cell r="D33">
            <v>18600.3</v>
          </cell>
          <cell r="E33">
            <v>21095.8</v>
          </cell>
        </row>
        <row r="37">
          <cell r="C37">
            <v>8998.1</v>
          </cell>
          <cell r="D37">
            <v>10104.6</v>
          </cell>
          <cell r="E37">
            <v>11460.3</v>
          </cell>
        </row>
        <row r="38">
          <cell r="C38">
            <v>288.9</v>
          </cell>
          <cell r="D38">
            <v>324.5</v>
          </cell>
          <cell r="E38">
            <v>368</v>
          </cell>
        </row>
        <row r="39">
          <cell r="C39">
            <v>8545.7</v>
          </cell>
          <cell r="D39">
            <v>9596.6</v>
          </cell>
          <cell r="E39">
            <v>10884.1</v>
          </cell>
        </row>
      </sheetData>
      <sheetData sheetId="22">
        <row r="5">
          <cell r="T5">
            <v>29305.841544000003</v>
          </cell>
        </row>
        <row r="6">
          <cell r="T6">
            <v>15978.4632</v>
          </cell>
        </row>
        <row r="7">
          <cell r="T7">
            <v>19100.016000000003</v>
          </cell>
        </row>
        <row r="8">
          <cell r="T8">
            <v>45277.651155055966</v>
          </cell>
        </row>
        <row r="9">
          <cell r="T9">
            <v>15870</v>
          </cell>
        </row>
        <row r="10">
          <cell r="T10">
            <v>0</v>
          </cell>
        </row>
      </sheetData>
      <sheetData sheetId="23">
        <row r="99">
          <cell r="D99">
            <v>18.4</v>
          </cell>
        </row>
        <row r="100">
          <cell r="B100">
            <v>13704.199999999999</v>
          </cell>
          <cell r="D100">
            <v>252157.27999999997</v>
          </cell>
          <cell r="E100">
            <v>104151.91999999998</v>
          </cell>
          <cell r="F100">
            <v>0</v>
          </cell>
        </row>
        <row r="101">
          <cell r="B101">
            <v>92393.4</v>
          </cell>
          <cell r="D101">
            <v>1700038.5599999998</v>
          </cell>
          <cell r="E101">
            <v>702189.84</v>
          </cell>
          <cell r="F101">
            <v>0</v>
          </cell>
        </row>
        <row r="102">
          <cell r="B102">
            <v>60502.09999999999</v>
          </cell>
          <cell r="D102">
            <v>1113238.6399999997</v>
          </cell>
          <cell r="E102">
            <v>459815.9599999999</v>
          </cell>
          <cell r="F102">
            <v>5972.8</v>
          </cell>
        </row>
        <row r="103">
          <cell r="B103">
            <v>3582.6</v>
          </cell>
          <cell r="D103">
            <v>65919.84</v>
          </cell>
          <cell r="E103">
            <v>27227.76</v>
          </cell>
          <cell r="F103">
            <v>0</v>
          </cell>
        </row>
        <row r="104">
          <cell r="B104">
            <v>8740.699999999999</v>
          </cell>
          <cell r="D104">
            <v>160828.87999999998</v>
          </cell>
          <cell r="E104">
            <v>66429.31999999999</v>
          </cell>
          <cell r="F104">
            <v>21811.2</v>
          </cell>
        </row>
        <row r="105">
          <cell r="B105">
            <v>46082.7</v>
          </cell>
          <cell r="D105">
            <v>847921.6799999999</v>
          </cell>
          <cell r="E105">
            <v>350228.51999999996</v>
          </cell>
          <cell r="F105">
            <v>12570.4</v>
          </cell>
        </row>
        <row r="106">
          <cell r="B106">
            <v>50555.29999999998</v>
          </cell>
          <cell r="D106">
            <v>930217.5199999996</v>
          </cell>
          <cell r="E106">
            <v>384220.27999999985</v>
          </cell>
          <cell r="F106">
            <v>8452</v>
          </cell>
        </row>
        <row r="107">
          <cell r="B107">
            <v>24387</v>
          </cell>
          <cell r="D107">
            <v>448720.8</v>
          </cell>
          <cell r="E107">
            <v>185341.19999999998</v>
          </cell>
          <cell r="F107">
            <v>0</v>
          </cell>
        </row>
        <row r="108">
          <cell r="B108">
            <v>5952.799999999998</v>
          </cell>
          <cell r="D108">
            <v>109531.51999999996</v>
          </cell>
          <cell r="E108">
            <v>45241.279999999984</v>
          </cell>
          <cell r="F108">
            <v>0</v>
          </cell>
        </row>
        <row r="109">
          <cell r="B109">
            <v>4296.799999999999</v>
          </cell>
          <cell r="D109">
            <v>79061.11999999998</v>
          </cell>
          <cell r="E109">
            <v>32655.679999999993</v>
          </cell>
          <cell r="F109">
            <v>0</v>
          </cell>
        </row>
        <row r="110">
          <cell r="B110">
            <v>1998.6</v>
          </cell>
          <cell r="D110">
            <v>36774.24</v>
          </cell>
          <cell r="E110">
            <v>15189.359999999999</v>
          </cell>
          <cell r="F110">
            <v>0</v>
          </cell>
        </row>
        <row r="116">
          <cell r="B116">
            <v>-5274840</v>
          </cell>
        </row>
        <row r="117">
          <cell r="B117">
            <v>-2598989.4</v>
          </cell>
        </row>
        <row r="119">
          <cell r="B119">
            <v>352536</v>
          </cell>
        </row>
        <row r="120">
          <cell r="B120">
            <v>-447156</v>
          </cell>
        </row>
        <row r="123">
          <cell r="B123">
            <v>99516.00813599788</v>
          </cell>
        </row>
      </sheetData>
      <sheetData sheetId="25">
        <row r="68">
          <cell r="A68" t="str">
            <v>Printshop - basement</v>
          </cell>
          <cell r="B68">
            <v>566.3</v>
          </cell>
          <cell r="D68">
            <v>747.516</v>
          </cell>
          <cell r="G68">
            <v>600</v>
          </cell>
        </row>
        <row r="69">
          <cell r="A69" t="str">
            <v>FMD/BS - basement</v>
          </cell>
          <cell r="B69">
            <v>6423.5</v>
          </cell>
          <cell r="D69">
            <v>8479.02</v>
          </cell>
          <cell r="G69">
            <v>600</v>
          </cell>
        </row>
        <row r="70">
          <cell r="A70" t="str">
            <v>DAJD - basement</v>
          </cell>
          <cell r="B70">
            <v>1132.6</v>
          </cell>
          <cell r="D70">
            <v>1495.032</v>
          </cell>
          <cell r="G70">
            <v>600</v>
          </cell>
        </row>
        <row r="71">
          <cell r="A71" t="str">
            <v>Printshop 1st floor</v>
          </cell>
          <cell r="B71">
            <v>5495.8</v>
          </cell>
          <cell r="C71">
            <v>72929.266</v>
          </cell>
          <cell r="E71">
            <v>36656.986000000004</v>
          </cell>
          <cell r="H71">
            <v>21488.578</v>
          </cell>
        </row>
        <row r="72">
          <cell r="A72" t="str">
            <v>FMD/BS - 1st floor</v>
          </cell>
          <cell r="B72">
            <v>3016.6</v>
          </cell>
          <cell r="C72">
            <v>40030.282</v>
          </cell>
          <cell r="F72">
            <v>4585.232</v>
          </cell>
          <cell r="H72">
            <v>11794.906</v>
          </cell>
        </row>
        <row r="73">
          <cell r="A73" t="str">
            <v>FMD/BS - carpenters 1st floor</v>
          </cell>
          <cell r="B73">
            <v>1940.6</v>
          </cell>
          <cell r="C73">
            <v>25751.762</v>
          </cell>
          <cell r="F73">
            <v>2949.712</v>
          </cell>
          <cell r="H73">
            <v>7587.746</v>
          </cell>
        </row>
        <row r="74">
          <cell r="A74" t="str">
            <v>Print Shop 2nd floor</v>
          </cell>
          <cell r="B74">
            <v>795.2</v>
          </cell>
          <cell r="C74">
            <v>10552.304</v>
          </cell>
          <cell r="F74">
            <v>1208.7040000000002</v>
          </cell>
          <cell r="H74">
            <v>3109.2320000000004</v>
          </cell>
        </row>
        <row r="75">
          <cell r="A75" t="str">
            <v>RAL's RM 2nd floor</v>
          </cell>
          <cell r="B75">
            <v>2933.4</v>
          </cell>
          <cell r="C75">
            <v>38926.218</v>
          </cell>
          <cell r="F75">
            <v>4458.768</v>
          </cell>
          <cell r="H75">
            <v>11469.594000000001</v>
          </cell>
        </row>
        <row r="76">
          <cell r="A76" t="str">
            <v>HRD - Video - 2nd floor</v>
          </cell>
          <cell r="B76">
            <v>495.5</v>
          </cell>
          <cell r="C76">
            <v>6575.285</v>
          </cell>
          <cell r="F76">
            <v>753.16</v>
          </cell>
          <cell r="H76">
            <v>1937.405</v>
          </cell>
        </row>
        <row r="77">
          <cell r="A77" t="str">
            <v>DPH - 2nd floor</v>
          </cell>
          <cell r="B77">
            <v>1412.5</v>
          </cell>
          <cell r="C77">
            <v>18743.875</v>
          </cell>
          <cell r="F77">
            <v>2147</v>
          </cell>
          <cell r="G77">
            <v>600</v>
          </cell>
          <cell r="H77">
            <v>5522.875</v>
          </cell>
        </row>
        <row r="78">
          <cell r="A78" t="str">
            <v>DAJD - 2nd floor</v>
          </cell>
          <cell r="B78">
            <v>3247.1</v>
          </cell>
          <cell r="C78">
            <v>43089.017</v>
          </cell>
          <cell r="F78">
            <v>4935.592</v>
          </cell>
          <cell r="H78">
            <v>12696.161</v>
          </cell>
        </row>
        <row r="79">
          <cell r="A79" t="str">
            <v>DOT/Transit - 2nd floor storage</v>
          </cell>
          <cell r="B79">
            <v>1212.6</v>
          </cell>
          <cell r="C79">
            <v>16091.201999999997</v>
          </cell>
          <cell r="D79">
            <v>1600.632</v>
          </cell>
        </row>
        <row r="80">
          <cell r="A80" t="str">
            <v>DNRP/SW - 2nd floor storage</v>
          </cell>
          <cell r="B80">
            <v>585.3</v>
          </cell>
          <cell r="C80">
            <v>7766.931</v>
          </cell>
          <cell r="D80">
            <v>772.596</v>
          </cell>
        </row>
        <row r="81">
          <cell r="A81" t="str">
            <v>HRD - Video - 2nd floor storage</v>
          </cell>
          <cell r="B81">
            <v>2075.5</v>
          </cell>
          <cell r="C81">
            <v>27541.885</v>
          </cell>
          <cell r="D81">
            <v>2739.6600000000003</v>
          </cell>
        </row>
        <row r="83">
          <cell r="C83">
            <v>307998.027</v>
          </cell>
          <cell r="D83">
            <v>15834.455999999998</v>
          </cell>
          <cell r="E83">
            <v>36656.986000000004</v>
          </cell>
          <cell r="F83">
            <v>21038.167999999998</v>
          </cell>
          <cell r="G83">
            <v>2400</v>
          </cell>
          <cell r="H83">
            <v>75606.497</v>
          </cell>
        </row>
      </sheetData>
      <sheetData sheetId="27">
        <row r="5">
          <cell r="G5">
            <v>521343.75</v>
          </cell>
          <cell r="H5">
            <v>13988.52</v>
          </cell>
        </row>
        <row r="36">
          <cell r="D36">
            <v>12506.097677967455</v>
          </cell>
        </row>
        <row r="37">
          <cell r="D37">
            <v>415.2956970325463</v>
          </cell>
        </row>
      </sheetData>
      <sheetData sheetId="29">
        <row r="12">
          <cell r="F12">
            <v>23894.830000000016</v>
          </cell>
        </row>
      </sheetData>
      <sheetData sheetId="30">
        <row r="8">
          <cell r="B8">
            <v>1.05</v>
          </cell>
          <cell r="K8">
            <v>10632.006</v>
          </cell>
          <cell r="U8">
            <v>58978.71000000001</v>
          </cell>
        </row>
        <row r="31">
          <cell r="D31">
            <v>13618.489500000001</v>
          </cell>
        </row>
        <row r="34">
          <cell r="J34">
            <v>24623.55</v>
          </cell>
        </row>
        <row r="35">
          <cell r="T35">
            <v>8007.628008000002</v>
          </cell>
        </row>
        <row r="41">
          <cell r="L41">
            <v>8321.666666666666</v>
          </cell>
        </row>
        <row r="42">
          <cell r="L42">
            <v>8737.75</v>
          </cell>
        </row>
        <row r="43">
          <cell r="B43">
            <v>11537.39</v>
          </cell>
        </row>
        <row r="44">
          <cell r="B44">
            <v>13844.868</v>
          </cell>
        </row>
        <row r="45">
          <cell r="S45">
            <v>10755.612000000001</v>
          </cell>
        </row>
      </sheetData>
      <sheetData sheetId="34">
        <row r="22">
          <cell r="E22">
            <v>8488.531934000002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7"/>
  <sheetViews>
    <sheetView tabSelected="1" zoomScalePageLayoutView="0" workbookViewId="0" topLeftCell="A74">
      <selection activeCell="B141" sqref="B141"/>
    </sheetView>
  </sheetViews>
  <sheetFormatPr defaultColWidth="9.140625" defaultRowHeight="19.5" customHeight="1"/>
  <cols>
    <col min="1" max="1" width="20.140625" style="1" customWidth="1"/>
    <col min="2" max="2" width="30.140625" style="2" customWidth="1"/>
    <col min="3" max="3" width="27.140625" style="2" customWidth="1"/>
    <col min="4" max="4" width="13.140625" style="3" customWidth="1"/>
    <col min="5" max="5" width="14.57421875" style="4" customWidth="1"/>
    <col min="6" max="10" width="20.28125" style="5" customWidth="1"/>
    <col min="11" max="11" width="20.28125" style="8" hidden="1" customWidth="1"/>
    <col min="12" max="16" width="14.8515625" style="7" hidden="1" customWidth="1"/>
    <col min="17" max="17" width="14.8515625" style="122" hidden="1" customWidth="1"/>
    <col min="18" max="18" width="15.00390625" style="0" customWidth="1"/>
    <col min="19" max="19" width="14.57421875" style="0" customWidth="1"/>
    <col min="20" max="25" width="15.00390625" style="0" customWidth="1"/>
    <col min="26" max="26" width="16.00390625" style="0" customWidth="1"/>
    <col min="27" max="27" width="15.28125" style="0" customWidth="1"/>
    <col min="28" max="28" width="15.57421875" style="0" bestFit="1" customWidth="1"/>
    <col min="29" max="29" width="16.7109375" style="0" customWidth="1"/>
    <col min="30" max="30" width="12.28125" style="0" bestFit="1" customWidth="1"/>
    <col min="32" max="32" width="15.00390625" style="0" bestFit="1" customWidth="1"/>
    <col min="46" max="16384" width="9.140625" style="2" customWidth="1"/>
  </cols>
  <sheetData>
    <row r="1" spans="9:17" ht="19.5" customHeight="1" hidden="1" thickBot="1">
      <c r="I1" s="5" t="s">
        <v>0</v>
      </c>
      <c r="J1" s="5">
        <f>'[1]2009 fee'!A4</f>
        <v>304984</v>
      </c>
      <c r="K1" s="6">
        <f>K120</f>
        <v>297548.95578589285</v>
      </c>
      <c r="Q1" s="8"/>
    </row>
    <row r="2" spans="1:45" s="11" customFormat="1" ht="19.5" customHeight="1">
      <c r="A2" s="9" t="s">
        <v>1</v>
      </c>
      <c r="B2" s="10">
        <v>2009</v>
      </c>
      <c r="D2" s="12"/>
      <c r="E2" s="13"/>
      <c r="F2" s="161" t="s">
        <v>2</v>
      </c>
      <c r="G2" s="162"/>
      <c r="H2" s="162"/>
      <c r="I2" s="162"/>
      <c r="J2" s="162"/>
      <c r="K2" s="154"/>
      <c r="L2" s="155" t="s">
        <v>3</v>
      </c>
      <c r="M2" s="155"/>
      <c r="N2" s="155"/>
      <c r="O2" s="155"/>
      <c r="P2" s="155"/>
      <c r="Q2" s="15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11" customFormat="1" ht="19.5" customHeight="1" thickBot="1">
      <c r="A3" s="15" t="s">
        <v>4</v>
      </c>
      <c r="B3" s="11" t="s">
        <v>5</v>
      </c>
      <c r="C3" s="11" t="s">
        <v>6</v>
      </c>
      <c r="D3" s="16" t="s">
        <v>7</v>
      </c>
      <c r="E3" s="14" t="s">
        <v>8</v>
      </c>
      <c r="F3" s="157">
        <v>55331</v>
      </c>
      <c r="G3" s="158"/>
      <c r="H3" s="158"/>
      <c r="I3" s="158"/>
      <c r="J3" s="17"/>
      <c r="K3" s="18">
        <v>55144</v>
      </c>
      <c r="L3" s="159" t="s">
        <v>1</v>
      </c>
      <c r="M3" s="159"/>
      <c r="N3" s="159"/>
      <c r="O3" s="159"/>
      <c r="P3" s="159"/>
      <c r="Q3" s="16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1" customFormat="1" ht="54" customHeight="1" thickBot="1">
      <c r="A4" s="15" t="s">
        <v>9</v>
      </c>
      <c r="C4" s="11" t="s">
        <v>10</v>
      </c>
      <c r="D4" s="16" t="s">
        <v>11</v>
      </c>
      <c r="E4" s="14" t="s">
        <v>12</v>
      </c>
      <c r="F4" s="19" t="s">
        <v>13</v>
      </c>
      <c r="G4" s="20" t="s">
        <v>14</v>
      </c>
      <c r="H4" s="19" t="s">
        <v>15</v>
      </c>
      <c r="I4" s="21" t="s">
        <v>16</v>
      </c>
      <c r="J4" s="21" t="s">
        <v>17</v>
      </c>
      <c r="K4" s="22" t="s">
        <v>18</v>
      </c>
      <c r="L4" s="23" t="s">
        <v>13</v>
      </c>
      <c r="M4" s="24" t="s">
        <v>14</v>
      </c>
      <c r="N4" s="25" t="s">
        <v>15</v>
      </c>
      <c r="O4" s="26" t="s">
        <v>19</v>
      </c>
      <c r="P4" s="26" t="s">
        <v>20</v>
      </c>
      <c r="Q4" s="27" t="s">
        <v>21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1" customFormat="1" ht="16.5" customHeight="1" thickBot="1" thickTop="1">
      <c r="A5" s="15"/>
      <c r="D5" s="28"/>
      <c r="E5" s="13"/>
      <c r="F5" s="29"/>
      <c r="G5" s="30"/>
      <c r="H5" s="30"/>
      <c r="I5" s="31"/>
      <c r="J5" s="31"/>
      <c r="K5" s="32">
        <v>0.01705</v>
      </c>
      <c r="L5" s="33"/>
      <c r="M5" s="34"/>
      <c r="N5" s="34"/>
      <c r="O5" s="35"/>
      <c r="P5" s="35"/>
      <c r="Q5" s="3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1" customFormat="1" ht="30" customHeight="1" hidden="1" thickBot="1" thickTop="1">
      <c r="A6" s="37">
        <v>1441</v>
      </c>
      <c r="B6" s="38" t="s">
        <v>22</v>
      </c>
      <c r="C6" s="39" t="s">
        <v>23</v>
      </c>
      <c r="D6" s="40">
        <v>40527</v>
      </c>
      <c r="E6" s="41">
        <v>25497</v>
      </c>
      <c r="F6" s="42">
        <f>53544*12+(954.37*12)</f>
        <v>653980.44</v>
      </c>
      <c r="G6" s="42">
        <f>'[1]lynn trust op cost hist'!F12</f>
        <v>23894.830000000016</v>
      </c>
      <c r="H6" s="42">
        <f>3570*12</f>
        <v>42840</v>
      </c>
      <c r="I6" s="42">
        <v>0</v>
      </c>
      <c r="J6" s="42">
        <f aca="true" t="shared" si="0" ref="J6:J19">SUM(F6:I6)</f>
        <v>720715.27</v>
      </c>
      <c r="K6" s="43">
        <f>$K$5*F6</f>
        <v>11150.366501999999</v>
      </c>
      <c r="L6" s="44">
        <f>F6</f>
        <v>653980.44</v>
      </c>
      <c r="M6" s="44">
        <f>G6</f>
        <v>23894.830000000016</v>
      </c>
      <c r="N6" s="44">
        <f>H6</f>
        <v>42840</v>
      </c>
      <c r="O6" s="44">
        <f>I6</f>
        <v>0</v>
      </c>
      <c r="P6" s="45">
        <v>0</v>
      </c>
      <c r="Q6" s="43">
        <f aca="true" t="shared" si="1" ref="Q6:Q40">K6</f>
        <v>11150.366501999999</v>
      </c>
      <c r="R6"/>
      <c r="S6" t="s">
        <v>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1" customFormat="1" ht="42.75" customHeight="1" hidden="1" thickBot="1" thickTop="1">
      <c r="A7" s="37" t="s">
        <v>24</v>
      </c>
      <c r="B7" s="38" t="s">
        <v>25</v>
      </c>
      <c r="C7" s="39" t="s">
        <v>26</v>
      </c>
      <c r="D7" s="40">
        <v>39155</v>
      </c>
      <c r="E7" s="41">
        <v>11570</v>
      </c>
      <c r="F7" s="42">
        <f>E7*39</f>
        <v>451230</v>
      </c>
      <c r="G7" s="42">
        <f>'[1]rates sheet key tower'!E22</f>
        <v>8488.531934000002</v>
      </c>
      <c r="H7" s="42">
        <v>0</v>
      </c>
      <c r="I7" s="42">
        <v>0</v>
      </c>
      <c r="J7" s="42">
        <f t="shared" si="0"/>
        <v>459718.531934</v>
      </c>
      <c r="K7" s="43">
        <f>$K$5*F7</f>
        <v>7693.4715</v>
      </c>
      <c r="L7" s="44">
        <f>F7</f>
        <v>451230</v>
      </c>
      <c r="M7" s="44">
        <f>G7</f>
        <v>8488.531934000002</v>
      </c>
      <c r="N7" s="44"/>
      <c r="O7" s="44">
        <f>-I7</f>
        <v>0</v>
      </c>
      <c r="P7" s="45">
        <v>0</v>
      </c>
      <c r="Q7" s="43">
        <f t="shared" si="1"/>
        <v>7693.4715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1" customFormat="1" ht="30" customHeight="1" hidden="1" thickBot="1" thickTop="1">
      <c r="A8" s="37">
        <v>1560</v>
      </c>
      <c r="B8" s="38" t="s">
        <v>27</v>
      </c>
      <c r="C8" s="39" t="s">
        <v>28</v>
      </c>
      <c r="D8" s="40">
        <v>40908</v>
      </c>
      <c r="E8" s="41">
        <v>6000</v>
      </c>
      <c r="F8" s="42">
        <f>$E$8*26</f>
        <v>156000</v>
      </c>
      <c r="G8" s="42">
        <v>0</v>
      </c>
      <c r="H8" s="42">
        <v>0</v>
      </c>
      <c r="I8" s="42">
        <v>0</v>
      </c>
      <c r="J8" s="42">
        <f t="shared" si="0"/>
        <v>156000</v>
      </c>
      <c r="K8" s="43">
        <f>$K$5*F8</f>
        <v>2659.7999999999997</v>
      </c>
      <c r="L8" s="44">
        <f>F8</f>
        <v>156000</v>
      </c>
      <c r="M8" s="44">
        <f>-G8</f>
        <v>0</v>
      </c>
      <c r="N8" s="44">
        <f>-H8</f>
        <v>0</v>
      </c>
      <c r="O8" s="44">
        <f>-I8</f>
        <v>0</v>
      </c>
      <c r="P8" s="45">
        <v>0</v>
      </c>
      <c r="Q8" s="43">
        <f t="shared" si="1"/>
        <v>2659.7999999999997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11" customFormat="1" ht="48.75" customHeight="1" hidden="1" thickBot="1" thickTop="1">
      <c r="A9" s="37" t="s">
        <v>29</v>
      </c>
      <c r="B9" s="38" t="s">
        <v>30</v>
      </c>
      <c r="C9" s="39" t="s">
        <v>31</v>
      </c>
      <c r="D9" s="46" t="s">
        <v>32</v>
      </c>
      <c r="E9" s="47">
        <f>'[1]rates sheet KS'!B100</f>
        <v>13704.199999999999</v>
      </c>
      <c r="F9" s="42">
        <f>'[1]rates sheet KS'!D100-K9</f>
        <v>247857.99837599997</v>
      </c>
      <c r="G9" s="42">
        <f>'[1]rates sheet KS'!E100</f>
        <v>104151.91999999998</v>
      </c>
      <c r="H9" s="42">
        <f>'[1]rates sheet KS'!F100</f>
        <v>0</v>
      </c>
      <c r="I9" s="42">
        <v>0</v>
      </c>
      <c r="J9" s="42">
        <f t="shared" si="0"/>
        <v>352009.91837599996</v>
      </c>
      <c r="K9" s="43">
        <f>$K$5*(E9*'[1]rates sheet KS'!$D$99)</f>
        <v>4299.281623999999</v>
      </c>
      <c r="L9" s="44">
        <v>0</v>
      </c>
      <c r="M9" s="44">
        <v>0</v>
      </c>
      <c r="N9" s="44">
        <v>0</v>
      </c>
      <c r="O9" s="44">
        <f>I9</f>
        <v>0</v>
      </c>
      <c r="P9" s="45">
        <v>0</v>
      </c>
      <c r="Q9" s="43">
        <f t="shared" si="1"/>
        <v>4299.281623999999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1" customFormat="1" ht="44.25" customHeight="1" hidden="1" thickBot="1" thickTop="1">
      <c r="A10" s="37" t="s">
        <v>33</v>
      </c>
      <c r="B10" s="38" t="s">
        <v>34</v>
      </c>
      <c r="C10" s="39" t="s">
        <v>31</v>
      </c>
      <c r="D10" s="46" t="s">
        <v>32</v>
      </c>
      <c r="E10" s="47">
        <f>'[1]rates sheet KS'!B101</f>
        <v>92393.4</v>
      </c>
      <c r="F10" s="42">
        <f>'[1]rates sheet KS'!D101-K10</f>
        <v>1671052.9025519998</v>
      </c>
      <c r="G10" s="42">
        <f>'[1]rates sheet KS'!E101</f>
        <v>702189.84</v>
      </c>
      <c r="H10" s="42">
        <f>'[1]rates sheet KS'!F101</f>
        <v>0</v>
      </c>
      <c r="I10" s="42">
        <v>0</v>
      </c>
      <c r="J10" s="42">
        <f t="shared" si="0"/>
        <v>2373242.7425519996</v>
      </c>
      <c r="K10" s="43">
        <f>$K$5*(E10*'[1]rates sheet KS'!$D$99)</f>
        <v>28985.657447999994</v>
      </c>
      <c r="L10" s="44">
        <v>0</v>
      </c>
      <c r="M10" s="44">
        <v>0</v>
      </c>
      <c r="N10" s="44">
        <v>0</v>
      </c>
      <c r="O10" s="44">
        <f aca="true" t="shared" si="2" ref="O10:O18">I10</f>
        <v>0</v>
      </c>
      <c r="P10" s="45">
        <v>0</v>
      </c>
      <c r="Q10" s="43">
        <f t="shared" si="1"/>
        <v>28985.657447999994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1" customFormat="1" ht="43.5" customHeight="1" hidden="1" thickBot="1" thickTop="1">
      <c r="A11" s="37" t="s">
        <v>35</v>
      </c>
      <c r="B11" s="38" t="s">
        <v>36</v>
      </c>
      <c r="C11" s="39" t="s">
        <v>31</v>
      </c>
      <c r="D11" s="46" t="s">
        <v>32</v>
      </c>
      <c r="E11" s="47">
        <f>'[1]rates sheet KS'!B102</f>
        <v>60502.09999999999</v>
      </c>
      <c r="F11" s="42">
        <f>'[1]rates sheet KS'!D102-K11</f>
        <v>1094257.9211879997</v>
      </c>
      <c r="G11" s="42">
        <f>'[1]rates sheet KS'!E102</f>
        <v>459815.9599999999</v>
      </c>
      <c r="H11" s="42">
        <f>'[1]rates sheet KS'!F102</f>
        <v>5972.8</v>
      </c>
      <c r="I11" s="42">
        <v>0</v>
      </c>
      <c r="J11" s="42">
        <f t="shared" si="0"/>
        <v>1560046.6811879997</v>
      </c>
      <c r="K11" s="43">
        <f>$K$5*(E11*'[1]rates sheet KS'!$D$99)</f>
        <v>18980.718811999992</v>
      </c>
      <c r="L11" s="44">
        <v>0</v>
      </c>
      <c r="M11" s="44">
        <v>0</v>
      </c>
      <c r="N11" s="44">
        <v>0</v>
      </c>
      <c r="O11" s="44">
        <f t="shared" si="2"/>
        <v>0</v>
      </c>
      <c r="P11" s="45">
        <v>0</v>
      </c>
      <c r="Q11" s="43">
        <f t="shared" si="1"/>
        <v>18980.718811999992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1" customFormat="1" ht="42" customHeight="1" hidden="1" thickBot="1" thickTop="1">
      <c r="A12" s="37" t="s">
        <v>37</v>
      </c>
      <c r="B12" s="38" t="s">
        <v>38</v>
      </c>
      <c r="C12" s="39" t="s">
        <v>31</v>
      </c>
      <c r="D12" s="46" t="s">
        <v>32</v>
      </c>
      <c r="E12" s="47">
        <f>'[1]rates sheet KS'!B103</f>
        <v>3582.6</v>
      </c>
      <c r="F12" s="42">
        <f>'[1]rates sheet KS'!D103-K12</f>
        <v>64795.906727999994</v>
      </c>
      <c r="G12" s="42">
        <f>'[1]rates sheet KS'!E103</f>
        <v>27227.76</v>
      </c>
      <c r="H12" s="42">
        <f>'[1]rates sheet KS'!F103</f>
        <v>0</v>
      </c>
      <c r="I12" s="42">
        <v>0</v>
      </c>
      <c r="J12" s="42">
        <f t="shared" si="0"/>
        <v>92023.666728</v>
      </c>
      <c r="K12" s="43">
        <f>$K$5*(E12*'[1]rates sheet KS'!$D$99)</f>
        <v>1123.933272</v>
      </c>
      <c r="L12" s="44">
        <v>0</v>
      </c>
      <c r="M12" s="44">
        <v>0</v>
      </c>
      <c r="N12" s="44">
        <v>0</v>
      </c>
      <c r="O12" s="44">
        <f t="shared" si="2"/>
        <v>0</v>
      </c>
      <c r="P12" s="45">
        <v>0</v>
      </c>
      <c r="Q12" s="43">
        <f t="shared" si="1"/>
        <v>1123.933272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1" customFormat="1" ht="40.5" customHeight="1" hidden="1" thickBot="1" thickTop="1">
      <c r="A13" s="37" t="s">
        <v>39</v>
      </c>
      <c r="B13" s="38" t="s">
        <v>40</v>
      </c>
      <c r="C13" s="39" t="s">
        <v>31</v>
      </c>
      <c r="D13" s="46" t="s">
        <v>32</v>
      </c>
      <c r="E13" s="47">
        <f>'[1]rates sheet KS'!B104</f>
        <v>8740.699999999999</v>
      </c>
      <c r="F13" s="42">
        <f>'[1]rates sheet KS'!D104-K13</f>
        <v>158086.74759599997</v>
      </c>
      <c r="G13" s="42">
        <f>'[1]rates sheet KS'!E104</f>
        <v>66429.31999999999</v>
      </c>
      <c r="H13" s="42">
        <f>'[1]rates sheet KS'!F104</f>
        <v>21811.2</v>
      </c>
      <c r="I13" s="42">
        <v>0</v>
      </c>
      <c r="J13" s="42">
        <f t="shared" si="0"/>
        <v>246327.267596</v>
      </c>
      <c r="K13" s="43">
        <f>$K$5*(E13*'[1]rates sheet KS'!$D$99)</f>
        <v>2742.1324039999995</v>
      </c>
      <c r="L13" s="44">
        <v>0</v>
      </c>
      <c r="M13" s="44">
        <v>0</v>
      </c>
      <c r="N13" s="44">
        <v>0</v>
      </c>
      <c r="O13" s="44">
        <f t="shared" si="2"/>
        <v>0</v>
      </c>
      <c r="P13" s="45">
        <v>0</v>
      </c>
      <c r="Q13" s="43">
        <f t="shared" si="1"/>
        <v>2742.1324039999995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11" customFormat="1" ht="42.75" customHeight="1" hidden="1" thickBot="1" thickTop="1">
      <c r="A14" s="37" t="s">
        <v>41</v>
      </c>
      <c r="B14" s="38" t="s">
        <v>42</v>
      </c>
      <c r="C14" s="39" t="s">
        <v>31</v>
      </c>
      <c r="D14" s="46" t="s">
        <v>32</v>
      </c>
      <c r="E14" s="47">
        <f>'[1]rates sheet KS'!B105</f>
        <v>46082.7</v>
      </c>
      <c r="F14" s="42">
        <f>'[1]rates sheet KS'!D105-K14</f>
        <v>833464.6153559999</v>
      </c>
      <c r="G14" s="42">
        <f>'[1]rates sheet KS'!E105</f>
        <v>350228.51999999996</v>
      </c>
      <c r="H14" s="42">
        <f>'[1]rates sheet KS'!F105</f>
        <v>12570.4</v>
      </c>
      <c r="I14" s="42"/>
      <c r="J14" s="42">
        <f t="shared" si="0"/>
        <v>1196263.5353559998</v>
      </c>
      <c r="K14" s="43">
        <f>$K$5*(E14*'[1]rates sheet KS'!$D$99)</f>
        <v>14457.064643999998</v>
      </c>
      <c r="L14" s="44">
        <v>0</v>
      </c>
      <c r="M14" s="44">
        <v>0</v>
      </c>
      <c r="N14" s="44">
        <v>0</v>
      </c>
      <c r="O14" s="44">
        <f t="shared" si="2"/>
        <v>0</v>
      </c>
      <c r="P14" s="45">
        <v>0</v>
      </c>
      <c r="Q14" s="43">
        <f t="shared" si="1"/>
        <v>14457.064643999998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11" customFormat="1" ht="41.25" customHeight="1" hidden="1" thickBot="1" thickTop="1">
      <c r="A15" s="37" t="s">
        <v>43</v>
      </c>
      <c r="B15" s="38" t="s">
        <v>44</v>
      </c>
      <c r="C15" s="39" t="s">
        <v>31</v>
      </c>
      <c r="D15" s="46" t="s">
        <v>32</v>
      </c>
      <c r="E15" s="47">
        <f>'[1]rates sheet KS'!B106</f>
        <v>50555.29999999998</v>
      </c>
      <c r="F15" s="42">
        <f>'[1]rates sheet KS'!D106-K15</f>
        <v>914357.3112839996</v>
      </c>
      <c r="G15" s="42">
        <f>'[1]rates sheet KS'!E106</f>
        <v>384220.27999999985</v>
      </c>
      <c r="H15" s="42">
        <f>'[1]rates sheet KS'!F106</f>
        <v>8452</v>
      </c>
      <c r="I15" s="42"/>
      <c r="J15" s="42">
        <f t="shared" si="0"/>
        <v>1307029.5912839994</v>
      </c>
      <c r="K15" s="43">
        <f>$K$5*(E15*'[1]rates sheet KS'!$D$99)</f>
        <v>15860.208715999992</v>
      </c>
      <c r="L15" s="44">
        <v>0</v>
      </c>
      <c r="M15" s="44">
        <v>0</v>
      </c>
      <c r="N15" s="44">
        <v>0</v>
      </c>
      <c r="O15" s="44">
        <f t="shared" si="2"/>
        <v>0</v>
      </c>
      <c r="P15" s="45">
        <v>0</v>
      </c>
      <c r="Q15" s="43">
        <f t="shared" si="1"/>
        <v>15860.208715999992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1" customFormat="1" ht="39" customHeight="1" hidden="1" thickBot="1" thickTop="1">
      <c r="A16" s="37" t="s">
        <v>45</v>
      </c>
      <c r="B16" s="38" t="s">
        <v>46</v>
      </c>
      <c r="C16" s="39" t="s">
        <v>31</v>
      </c>
      <c r="D16" s="46" t="s">
        <v>32</v>
      </c>
      <c r="E16" s="47">
        <f>'[1]rates sheet KS'!B107</f>
        <v>24387</v>
      </c>
      <c r="F16" s="42">
        <f>'[1]rates sheet KS'!D107-K16</f>
        <v>441070.11036</v>
      </c>
      <c r="G16" s="42">
        <f>'[1]rates sheet KS'!E107</f>
        <v>185341.19999999998</v>
      </c>
      <c r="H16" s="42">
        <f>'[1]rates sheet KS'!F107</f>
        <v>0</v>
      </c>
      <c r="I16" s="42"/>
      <c r="J16" s="42">
        <f t="shared" si="0"/>
        <v>626411.31036</v>
      </c>
      <c r="K16" s="43">
        <f>$K$5*(E16*'[1]rates sheet KS'!$D$99)</f>
        <v>7650.68964</v>
      </c>
      <c r="L16" s="44">
        <v>0</v>
      </c>
      <c r="M16" s="44">
        <v>0</v>
      </c>
      <c r="N16" s="44">
        <v>0</v>
      </c>
      <c r="O16" s="44">
        <f t="shared" si="2"/>
        <v>0</v>
      </c>
      <c r="P16" s="45">
        <v>0</v>
      </c>
      <c r="Q16" s="43">
        <f t="shared" si="1"/>
        <v>7650.68964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1" customFormat="1" ht="43.5" customHeight="1" hidden="1" thickBot="1" thickTop="1">
      <c r="A17" s="37" t="s">
        <v>47</v>
      </c>
      <c r="B17" s="38" t="s">
        <v>48</v>
      </c>
      <c r="C17" s="39" t="s">
        <v>31</v>
      </c>
      <c r="D17" s="46" t="s">
        <v>32</v>
      </c>
      <c r="E17" s="47">
        <f>'[1]rates sheet KS'!B108</f>
        <v>5952.799999999998</v>
      </c>
      <c r="F17" s="42">
        <f>'[1]rates sheet KS'!D108-K17</f>
        <v>107664.00758399996</v>
      </c>
      <c r="G17" s="42">
        <f>'[1]rates sheet KS'!E108</f>
        <v>45241.279999999984</v>
      </c>
      <c r="H17" s="42">
        <f>'[1]rates sheet KS'!F108</f>
        <v>0</v>
      </c>
      <c r="I17" s="42">
        <v>0</v>
      </c>
      <c r="J17" s="42">
        <f t="shared" si="0"/>
        <v>152905.28758399995</v>
      </c>
      <c r="K17" s="43">
        <f>$K$5*(E17*'[1]rates sheet KS'!$D$99)</f>
        <v>1867.5124159999993</v>
      </c>
      <c r="L17" s="44">
        <v>0</v>
      </c>
      <c r="M17" s="44">
        <v>0</v>
      </c>
      <c r="N17" s="44">
        <f>H17</f>
        <v>0</v>
      </c>
      <c r="O17" s="44">
        <f t="shared" si="2"/>
        <v>0</v>
      </c>
      <c r="P17" s="45">
        <v>0</v>
      </c>
      <c r="Q17" s="43">
        <f t="shared" si="1"/>
        <v>1867.5124159999993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1" customFormat="1" ht="39" customHeight="1" hidden="1" thickBot="1" thickTop="1">
      <c r="A18" s="37" t="s">
        <v>49</v>
      </c>
      <c r="B18" s="38" t="s">
        <v>50</v>
      </c>
      <c r="C18" s="39" t="s">
        <v>31</v>
      </c>
      <c r="D18" s="46" t="s">
        <v>32</v>
      </c>
      <c r="E18" s="47">
        <f>'[1]rates sheet KS'!B109</f>
        <v>4296.799999999999</v>
      </c>
      <c r="F18" s="42">
        <f>'[1]rates sheet KS'!D109-K18</f>
        <v>77713.12790399998</v>
      </c>
      <c r="G18" s="42">
        <f>'[1]rates sheet KS'!E109</f>
        <v>32655.679999999993</v>
      </c>
      <c r="H18" s="42">
        <f>'[1]rates sheet KS'!F109</f>
        <v>0</v>
      </c>
      <c r="I18" s="42">
        <v>0</v>
      </c>
      <c r="J18" s="42">
        <f t="shared" si="0"/>
        <v>110368.80790399997</v>
      </c>
      <c r="K18" s="43">
        <f>$K$5*(E18*'[1]rates sheet KS'!$D$99)</f>
        <v>1347.9920959999997</v>
      </c>
      <c r="L18" s="44">
        <v>0</v>
      </c>
      <c r="M18" s="44">
        <v>0</v>
      </c>
      <c r="N18" s="44">
        <f>H18</f>
        <v>0</v>
      </c>
      <c r="O18" s="44">
        <f t="shared" si="2"/>
        <v>0</v>
      </c>
      <c r="P18" s="45">
        <v>0</v>
      </c>
      <c r="Q18" s="43">
        <f t="shared" si="1"/>
        <v>1347.9920959999997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1" customFormat="1" ht="39" customHeight="1" hidden="1" thickBot="1" thickTop="1">
      <c r="A19" s="37" t="s">
        <v>51</v>
      </c>
      <c r="B19" s="38" t="s">
        <v>52</v>
      </c>
      <c r="C19" s="39" t="s">
        <v>53</v>
      </c>
      <c r="D19" s="46" t="s">
        <v>32</v>
      </c>
      <c r="E19" s="47">
        <f>'[1]rates sheet KS'!B110</f>
        <v>1998.6</v>
      </c>
      <c r="F19" s="42">
        <f>'[1]rates sheet KS'!D110-K19</f>
        <v>36147.239208</v>
      </c>
      <c r="G19" s="42">
        <f>'[1]rates sheet KS'!E110</f>
        <v>15189.359999999999</v>
      </c>
      <c r="H19" s="42">
        <f>'[1]rates sheet KS'!F110</f>
        <v>0</v>
      </c>
      <c r="I19" s="42">
        <v>0</v>
      </c>
      <c r="J19" s="42">
        <f t="shared" si="0"/>
        <v>51336.599208</v>
      </c>
      <c r="K19" s="43">
        <f>$K$5*(E19*'[1]rates sheet KS'!$D$99)</f>
        <v>627.0007919999999</v>
      </c>
      <c r="L19" s="44"/>
      <c r="M19" s="44"/>
      <c r="N19" s="44"/>
      <c r="O19" s="44"/>
      <c r="P19" s="45"/>
      <c r="Q19" s="43">
        <f t="shared" si="1"/>
        <v>627.0007919999999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1" customFormat="1" ht="39" customHeight="1" hidden="1" thickBot="1" thickTop="1">
      <c r="A20" s="37">
        <v>1665</v>
      </c>
      <c r="B20" s="38" t="s">
        <v>54</v>
      </c>
      <c r="C20" s="39" t="s">
        <v>53</v>
      </c>
      <c r="D20" s="46"/>
      <c r="E20" s="41"/>
      <c r="F20" s="42">
        <v>0</v>
      </c>
      <c r="G20" s="42"/>
      <c r="H20" s="42">
        <f>'[1]rates sheet KS'!B119</f>
        <v>352536</v>
      </c>
      <c r="I20" s="48"/>
      <c r="J20" s="42">
        <f>SUM(F20:H20)</f>
        <v>352536</v>
      </c>
      <c r="K20" s="43">
        <v>0</v>
      </c>
      <c r="L20" s="44">
        <f>-'[1]rates sheet KS'!B116</f>
        <v>5274840</v>
      </c>
      <c r="M20" s="44">
        <f>-'[1]rates sheet KS'!B117</f>
        <v>2598989.4</v>
      </c>
      <c r="N20" s="49"/>
      <c r="O20" s="50">
        <f>-('[1]rates sheet KS'!B120+-'[1]rates sheet KS'!B123)</f>
        <v>546672.0081359979</v>
      </c>
      <c r="P20" s="45">
        <v>0</v>
      </c>
      <c r="Q20" s="43">
        <f t="shared" si="1"/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1" customFormat="1" ht="76.5" customHeight="1" hidden="1" thickBot="1" thickTop="1">
      <c r="A21" s="37">
        <v>1453</v>
      </c>
      <c r="B21" s="38" t="s">
        <v>55</v>
      </c>
      <c r="C21" s="39" t="s">
        <v>56</v>
      </c>
      <c r="D21" s="40">
        <v>39447</v>
      </c>
      <c r="E21" s="41">
        <v>1367</v>
      </c>
      <c r="F21" s="42">
        <f>'[1]CPI rates &amp; misc'!K8</f>
        <v>10632.006</v>
      </c>
      <c r="G21" s="42">
        <v>0</v>
      </c>
      <c r="H21" s="42">
        <v>0</v>
      </c>
      <c r="I21" s="42">
        <v>0</v>
      </c>
      <c r="J21" s="42">
        <f aca="true" t="shared" si="3" ref="J21:J42">SUM(F21:I21)</f>
        <v>10632.006</v>
      </c>
      <c r="K21" s="43">
        <f>$K$5*F21</f>
        <v>181.27570229999998</v>
      </c>
      <c r="L21" s="44">
        <f>F21</f>
        <v>10632.006</v>
      </c>
      <c r="M21" s="44">
        <f aca="true" t="shared" si="4" ref="L21:O36">G21</f>
        <v>0</v>
      </c>
      <c r="N21" s="44">
        <f t="shared" si="4"/>
        <v>0</v>
      </c>
      <c r="O21" s="44">
        <f t="shared" si="4"/>
        <v>0</v>
      </c>
      <c r="P21" s="45">
        <v>0</v>
      </c>
      <c r="Q21" s="43">
        <f t="shared" si="1"/>
        <v>181.27570229999998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1" customFormat="1" ht="64.5" customHeight="1" hidden="1" thickBot="1" thickTop="1">
      <c r="A22" s="37" t="s">
        <v>57</v>
      </c>
      <c r="B22" s="38" t="s">
        <v>58</v>
      </c>
      <c r="C22" s="39" t="s">
        <v>59</v>
      </c>
      <c r="D22" s="40">
        <v>39614</v>
      </c>
      <c r="E22" s="41">
        <v>4993</v>
      </c>
      <c r="F22" s="42">
        <f>(6*'[1]CPI rates &amp; misc'!L41)+(6*'[1]CPI rates &amp; misc'!L42)</f>
        <v>102356.5</v>
      </c>
      <c r="G22" s="42">
        <f>(E22*6)+12000</f>
        <v>41958</v>
      </c>
      <c r="H22" s="42">
        <v>0</v>
      </c>
      <c r="I22" s="42">
        <v>0</v>
      </c>
      <c r="J22" s="42">
        <f t="shared" si="3"/>
        <v>144314.5</v>
      </c>
      <c r="K22" s="43">
        <f>$K$5*F22</f>
        <v>1745.1783249999999</v>
      </c>
      <c r="L22" s="44">
        <f t="shared" si="4"/>
        <v>102356.5</v>
      </c>
      <c r="M22" s="44">
        <f t="shared" si="4"/>
        <v>41958</v>
      </c>
      <c r="N22" s="44">
        <f t="shared" si="4"/>
        <v>0</v>
      </c>
      <c r="O22" s="44">
        <f t="shared" si="4"/>
        <v>0</v>
      </c>
      <c r="P22" s="45">
        <v>0</v>
      </c>
      <c r="Q22" s="43">
        <f t="shared" si="1"/>
        <v>1745.1783249999999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48" customFormat="1" ht="64.5" customHeight="1" hidden="1" thickBot="1" thickTop="1">
      <c r="A23" s="37">
        <v>1867</v>
      </c>
      <c r="B23" s="38" t="s">
        <v>58</v>
      </c>
      <c r="C23" s="39" t="s">
        <v>59</v>
      </c>
      <c r="D23" s="40">
        <v>41942</v>
      </c>
      <c r="E23" s="41">
        <v>2273</v>
      </c>
      <c r="F23" s="42">
        <f>((3788.33*1.032)*6)+(((3788.33*1.032)*1.035))*6</f>
        <v>47735.68559759999</v>
      </c>
      <c r="G23" s="42">
        <f>508.94*12</f>
        <v>6107.28</v>
      </c>
      <c r="H23" s="42">
        <f>E23*6</f>
        <v>13638</v>
      </c>
      <c r="I23" s="42"/>
      <c r="J23" s="42">
        <f>SUM(F23:I23)</f>
        <v>67480.96559759999</v>
      </c>
      <c r="K23" s="43">
        <f>$K$5*F23</f>
        <v>813.8934394390799</v>
      </c>
      <c r="L23" s="44">
        <f>F23</f>
        <v>47735.68559759999</v>
      </c>
      <c r="M23" s="44">
        <f>G23</f>
        <v>6107.28</v>
      </c>
      <c r="N23" s="44">
        <f>H23</f>
        <v>13638</v>
      </c>
      <c r="O23" s="44">
        <f>I23</f>
        <v>0</v>
      </c>
      <c r="P23" s="45">
        <v>0</v>
      </c>
      <c r="Q23" s="43">
        <f t="shared" si="1"/>
        <v>813.8934394390799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48" customFormat="1" ht="30" customHeight="1" hidden="1" thickBot="1" thickTop="1">
      <c r="A24" s="37">
        <v>2015</v>
      </c>
      <c r="B24" s="38" t="s">
        <v>60</v>
      </c>
      <c r="C24" s="39" t="s">
        <v>61</v>
      </c>
      <c r="D24" s="46" t="s">
        <v>32</v>
      </c>
      <c r="E24" s="41">
        <v>16642</v>
      </c>
      <c r="F24" s="42">
        <f>98320+383320</f>
        <v>481640</v>
      </c>
      <c r="G24" s="42">
        <v>0</v>
      </c>
      <c r="H24" s="42">
        <v>3025</v>
      </c>
      <c r="I24" s="42">
        <v>0</v>
      </c>
      <c r="J24" s="42">
        <f t="shared" si="3"/>
        <v>484665</v>
      </c>
      <c r="K24" s="43">
        <v>0</v>
      </c>
      <c r="L24" s="44">
        <f t="shared" si="4"/>
        <v>481640</v>
      </c>
      <c r="M24" s="44">
        <f t="shared" si="4"/>
        <v>0</v>
      </c>
      <c r="N24" s="44">
        <f t="shared" si="4"/>
        <v>3025</v>
      </c>
      <c r="O24" s="44">
        <f t="shared" si="4"/>
        <v>0</v>
      </c>
      <c r="P24" s="45">
        <v>0</v>
      </c>
      <c r="Q24" s="43">
        <f t="shared" si="1"/>
        <v>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48" customFormat="1" ht="62.25" customHeight="1" hidden="1" thickBot="1" thickTop="1">
      <c r="A25" s="37">
        <v>1388</v>
      </c>
      <c r="B25" s="38" t="s">
        <v>62</v>
      </c>
      <c r="C25" s="39" t="s">
        <v>63</v>
      </c>
      <c r="D25" s="40">
        <v>40178</v>
      </c>
      <c r="E25" s="41">
        <v>14600</v>
      </c>
      <c r="F25" s="42">
        <f>(23418.13*12)+(2320.72*12)</f>
        <v>308866.2</v>
      </c>
      <c r="G25" s="42">
        <v>0</v>
      </c>
      <c r="H25" s="42">
        <f>5835*1.05</f>
        <v>6126.75</v>
      </c>
      <c r="I25" s="42">
        <v>0</v>
      </c>
      <c r="J25" s="42">
        <f t="shared" si="3"/>
        <v>314992.95</v>
      </c>
      <c r="K25" s="43">
        <f aca="true" t="shared" si="5" ref="K25:K39">$K$5*F25</f>
        <v>5266.16871</v>
      </c>
      <c r="L25" s="44">
        <f t="shared" si="4"/>
        <v>308866.2</v>
      </c>
      <c r="M25" s="44">
        <f t="shared" si="4"/>
        <v>0</v>
      </c>
      <c r="N25" s="44">
        <f t="shared" si="4"/>
        <v>6126.75</v>
      </c>
      <c r="O25" s="44">
        <f t="shared" si="4"/>
        <v>0</v>
      </c>
      <c r="P25" s="45">
        <v>0</v>
      </c>
      <c r="Q25" s="43">
        <f t="shared" si="1"/>
        <v>5266.16871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48" customFormat="1" ht="54" customHeight="1" hidden="1" thickBot="1" thickTop="1">
      <c r="A26" s="37">
        <v>1418</v>
      </c>
      <c r="B26" s="38" t="s">
        <v>64</v>
      </c>
      <c r="C26" s="39" t="s">
        <v>65</v>
      </c>
      <c r="D26" s="40">
        <v>40633</v>
      </c>
      <c r="E26" s="41">
        <v>1066</v>
      </c>
      <c r="F26" s="42">
        <f>E26*22</f>
        <v>23452</v>
      </c>
      <c r="G26" s="42">
        <f>124*12</f>
        <v>1488</v>
      </c>
      <c r="H26" s="42">
        <f>(255*12)+(((541*1.05)*2)*12)+(545*12)</f>
        <v>23233.2</v>
      </c>
      <c r="I26" s="42">
        <v>0</v>
      </c>
      <c r="J26" s="42">
        <f t="shared" si="3"/>
        <v>48173.2</v>
      </c>
      <c r="K26" s="43">
        <f t="shared" si="5"/>
        <v>399.85659999999996</v>
      </c>
      <c r="L26" s="44">
        <f t="shared" si="4"/>
        <v>23452</v>
      </c>
      <c r="M26" s="44">
        <f t="shared" si="4"/>
        <v>1488</v>
      </c>
      <c r="N26" s="44">
        <f t="shared" si="4"/>
        <v>23233.2</v>
      </c>
      <c r="O26" s="44">
        <f t="shared" si="4"/>
        <v>0</v>
      </c>
      <c r="P26" s="45">
        <v>0</v>
      </c>
      <c r="Q26" s="43">
        <f t="shared" si="1"/>
        <v>399.85659999999996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48" customFormat="1" ht="49.5" customHeight="1" hidden="1" thickBot="1" thickTop="1">
      <c r="A27" s="37">
        <v>1514</v>
      </c>
      <c r="B27" s="38" t="s">
        <v>66</v>
      </c>
      <c r="C27" s="39" t="s">
        <v>67</v>
      </c>
      <c r="D27" s="40" t="s">
        <v>1</v>
      </c>
      <c r="E27" s="52" t="s">
        <v>68</v>
      </c>
      <c r="F27" s="42">
        <f>'[1]antenna'!T7</f>
        <v>19100.016000000003</v>
      </c>
      <c r="G27" s="42">
        <v>0</v>
      </c>
      <c r="H27" s="42">
        <v>0</v>
      </c>
      <c r="I27" s="42">
        <v>0</v>
      </c>
      <c r="J27" s="42">
        <f t="shared" si="3"/>
        <v>19100.016000000003</v>
      </c>
      <c r="K27" s="43">
        <f t="shared" si="5"/>
        <v>325.65527280000003</v>
      </c>
      <c r="L27" s="44">
        <f t="shared" si="4"/>
        <v>19100.016000000003</v>
      </c>
      <c r="M27" s="44">
        <f t="shared" si="4"/>
        <v>0</v>
      </c>
      <c r="N27" s="44">
        <f t="shared" si="4"/>
        <v>0</v>
      </c>
      <c r="O27" s="44">
        <f t="shared" si="4"/>
        <v>0</v>
      </c>
      <c r="P27" s="45">
        <v>0</v>
      </c>
      <c r="Q27" s="43">
        <f t="shared" si="1"/>
        <v>325.65527280000003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48" customFormat="1" ht="30" customHeight="1" hidden="1" thickBot="1" thickTop="1">
      <c r="A28" s="37" t="s">
        <v>69</v>
      </c>
      <c r="B28" s="38" t="s">
        <v>70</v>
      </c>
      <c r="C28" s="39" t="s">
        <v>71</v>
      </c>
      <c r="D28" s="40">
        <v>40451</v>
      </c>
      <c r="E28" s="41">
        <v>3474</v>
      </c>
      <c r="F28" s="42">
        <f>(($E$28*17.5)*9/12)+(($E$28*18.5)*3/12)</f>
        <v>61663.5</v>
      </c>
      <c r="G28" s="42">
        <v>0</v>
      </c>
      <c r="H28" s="42">
        <v>0</v>
      </c>
      <c r="I28" s="42">
        <v>0</v>
      </c>
      <c r="J28" s="42">
        <f t="shared" si="3"/>
        <v>61663.5</v>
      </c>
      <c r="K28" s="43">
        <f t="shared" si="5"/>
        <v>1051.3626749999999</v>
      </c>
      <c r="L28" s="44">
        <f t="shared" si="4"/>
        <v>61663.5</v>
      </c>
      <c r="M28" s="44">
        <f t="shared" si="4"/>
        <v>0</v>
      </c>
      <c r="N28" s="44">
        <f t="shared" si="4"/>
        <v>0</v>
      </c>
      <c r="O28" s="44">
        <f t="shared" si="4"/>
        <v>0</v>
      </c>
      <c r="P28" s="45">
        <v>0</v>
      </c>
      <c r="Q28" s="43">
        <f t="shared" si="1"/>
        <v>1051.3626749999999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48" customFormat="1" ht="51" customHeight="1" hidden="1" thickBot="1" thickTop="1">
      <c r="A29" s="37" t="s">
        <v>72</v>
      </c>
      <c r="B29" s="38" t="s">
        <v>73</v>
      </c>
      <c r="C29" s="39" t="s">
        <v>74</v>
      </c>
      <c r="D29" s="40">
        <v>38717</v>
      </c>
      <c r="E29" s="41">
        <v>1188</v>
      </c>
      <c r="F29" s="42">
        <f>2376*12</f>
        <v>28512</v>
      </c>
      <c r="G29" s="42">
        <v>0</v>
      </c>
      <c r="H29" s="42">
        <v>0</v>
      </c>
      <c r="I29" s="42">
        <v>0</v>
      </c>
      <c r="J29" s="42">
        <f t="shared" si="3"/>
        <v>28512</v>
      </c>
      <c r="K29" s="43">
        <f t="shared" si="5"/>
        <v>486.1296</v>
      </c>
      <c r="L29" s="44">
        <f t="shared" si="4"/>
        <v>28512</v>
      </c>
      <c r="M29" s="44">
        <f t="shared" si="4"/>
        <v>0</v>
      </c>
      <c r="N29" s="44">
        <f t="shared" si="4"/>
        <v>0</v>
      </c>
      <c r="O29" s="44">
        <f t="shared" si="4"/>
        <v>0</v>
      </c>
      <c r="P29" s="45">
        <v>0</v>
      </c>
      <c r="Q29" s="43">
        <f t="shared" si="1"/>
        <v>486.1296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48" customFormat="1" ht="30" customHeight="1" hidden="1" thickBot="1" thickTop="1">
      <c r="A30" s="37">
        <v>1570</v>
      </c>
      <c r="B30" s="38" t="s">
        <v>75</v>
      </c>
      <c r="C30" s="39" t="s">
        <v>76</v>
      </c>
      <c r="D30" s="40">
        <v>40908</v>
      </c>
      <c r="E30" s="41">
        <v>1734</v>
      </c>
      <c r="F30" s="42">
        <f>$E$30*24.89</f>
        <v>43159.26</v>
      </c>
      <c r="G30" s="42">
        <f>500*12</f>
        <v>6000</v>
      </c>
      <c r="H30" s="42">
        <v>0</v>
      </c>
      <c r="I30" s="42">
        <v>0</v>
      </c>
      <c r="J30" s="42">
        <f t="shared" si="3"/>
        <v>49159.26</v>
      </c>
      <c r="K30" s="43">
        <f t="shared" si="5"/>
        <v>735.865383</v>
      </c>
      <c r="L30" s="44">
        <f t="shared" si="4"/>
        <v>43159.26</v>
      </c>
      <c r="M30" s="44">
        <f t="shared" si="4"/>
        <v>6000</v>
      </c>
      <c r="N30" s="44">
        <f t="shared" si="4"/>
        <v>0</v>
      </c>
      <c r="O30" s="44">
        <f t="shared" si="4"/>
        <v>0</v>
      </c>
      <c r="P30" s="45">
        <v>0</v>
      </c>
      <c r="Q30" s="43">
        <f t="shared" si="1"/>
        <v>735.865383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48" customFormat="1" ht="45.75" customHeight="1" hidden="1" thickBot="1" thickTop="1">
      <c r="A31" s="37">
        <v>1556</v>
      </c>
      <c r="B31" s="38" t="s">
        <v>73</v>
      </c>
      <c r="C31" s="39" t="s">
        <v>77</v>
      </c>
      <c r="D31" s="40">
        <v>37164</v>
      </c>
      <c r="E31" s="41">
        <v>1200</v>
      </c>
      <c r="F31" s="42">
        <f>1200*12</f>
        <v>14400</v>
      </c>
      <c r="G31" s="42">
        <v>0</v>
      </c>
      <c r="H31" s="42">
        <v>0</v>
      </c>
      <c r="I31" s="42">
        <v>0</v>
      </c>
      <c r="J31" s="42">
        <f t="shared" si="3"/>
        <v>14400</v>
      </c>
      <c r="K31" s="43">
        <f t="shared" si="5"/>
        <v>245.51999999999998</v>
      </c>
      <c r="L31" s="44">
        <f t="shared" si="4"/>
        <v>14400</v>
      </c>
      <c r="M31" s="44">
        <f t="shared" si="4"/>
        <v>0</v>
      </c>
      <c r="N31" s="44">
        <f t="shared" si="4"/>
        <v>0</v>
      </c>
      <c r="O31" s="44">
        <f t="shared" si="4"/>
        <v>0</v>
      </c>
      <c r="P31" s="45">
        <v>0</v>
      </c>
      <c r="Q31" s="43">
        <f t="shared" si="1"/>
        <v>245.51999999999998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48" customFormat="1" ht="63.75" customHeight="1" hidden="1" thickBot="1" thickTop="1">
      <c r="A32" s="37">
        <v>1584</v>
      </c>
      <c r="B32" s="38" t="s">
        <v>55</v>
      </c>
      <c r="C32" s="39" t="s">
        <v>78</v>
      </c>
      <c r="D32" s="40">
        <v>39447</v>
      </c>
      <c r="E32" s="41">
        <v>1280</v>
      </c>
      <c r="F32" s="42">
        <f>'[1]CPI rates &amp; misc'!K8</f>
        <v>10632.006</v>
      </c>
      <c r="G32" s="42">
        <v>0</v>
      </c>
      <c r="H32" s="42">
        <v>0</v>
      </c>
      <c r="I32" s="42">
        <v>0</v>
      </c>
      <c r="J32" s="42">
        <f t="shared" si="3"/>
        <v>10632.006</v>
      </c>
      <c r="K32" s="43">
        <f t="shared" si="5"/>
        <v>181.27570229999998</v>
      </c>
      <c r="L32" s="44">
        <f t="shared" si="4"/>
        <v>10632.006</v>
      </c>
      <c r="M32" s="44">
        <f t="shared" si="4"/>
        <v>0</v>
      </c>
      <c r="N32" s="44">
        <f t="shared" si="4"/>
        <v>0</v>
      </c>
      <c r="O32" s="44">
        <f t="shared" si="4"/>
        <v>0</v>
      </c>
      <c r="P32" s="45">
        <v>0</v>
      </c>
      <c r="Q32" s="43">
        <f t="shared" si="1"/>
        <v>181.27570229999998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48" customFormat="1" ht="43.5" customHeight="1" hidden="1" thickBot="1" thickTop="1">
      <c r="A33" s="37">
        <v>1633</v>
      </c>
      <c r="B33" s="38" t="s">
        <v>70</v>
      </c>
      <c r="C33" s="39" t="s">
        <v>79</v>
      </c>
      <c r="D33" s="40">
        <v>41425</v>
      </c>
      <c r="E33" s="41">
        <v>3600</v>
      </c>
      <c r="F33" s="42">
        <f>(8012.99*5)+((8012.99*1.05)*7)</f>
        <v>98960.4265</v>
      </c>
      <c r="G33" s="42">
        <v>0</v>
      </c>
      <c r="H33" s="42">
        <v>0</v>
      </c>
      <c r="I33" s="42">
        <v>0</v>
      </c>
      <c r="J33" s="42">
        <f t="shared" si="3"/>
        <v>98960.4265</v>
      </c>
      <c r="K33" s="43">
        <f t="shared" si="5"/>
        <v>1687.275271825</v>
      </c>
      <c r="L33" s="44">
        <f t="shared" si="4"/>
        <v>98960.4265</v>
      </c>
      <c r="M33" s="44">
        <f t="shared" si="4"/>
        <v>0</v>
      </c>
      <c r="N33" s="44">
        <f t="shared" si="4"/>
        <v>0</v>
      </c>
      <c r="O33" s="44">
        <f t="shared" si="4"/>
        <v>0</v>
      </c>
      <c r="P33" s="45">
        <v>0</v>
      </c>
      <c r="Q33" s="43">
        <f t="shared" si="1"/>
        <v>1687.275271825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48" customFormat="1" ht="69.75" customHeight="1" hidden="1" thickBot="1" thickTop="1">
      <c r="A34" s="37">
        <v>1590</v>
      </c>
      <c r="B34" s="38" t="s">
        <v>80</v>
      </c>
      <c r="C34" s="39" t="s">
        <v>81</v>
      </c>
      <c r="D34" s="40">
        <v>40908</v>
      </c>
      <c r="E34" s="41">
        <v>720</v>
      </c>
      <c r="F34" s="42">
        <f>'[1]CPI rates &amp; misc'!U8</f>
        <v>58978.71000000001</v>
      </c>
      <c r="G34" s="42">
        <v>0</v>
      </c>
      <c r="H34" s="42">
        <v>0</v>
      </c>
      <c r="I34" s="42">
        <v>0</v>
      </c>
      <c r="J34" s="42">
        <f t="shared" si="3"/>
        <v>58978.71000000001</v>
      </c>
      <c r="K34" s="43">
        <f t="shared" si="5"/>
        <v>1005.5870055</v>
      </c>
      <c r="L34" s="44">
        <f t="shared" si="4"/>
        <v>58978.71000000001</v>
      </c>
      <c r="M34" s="44">
        <f t="shared" si="4"/>
        <v>0</v>
      </c>
      <c r="N34" s="44">
        <f t="shared" si="4"/>
        <v>0</v>
      </c>
      <c r="O34" s="44">
        <f t="shared" si="4"/>
        <v>0</v>
      </c>
      <c r="P34" s="45">
        <v>0</v>
      </c>
      <c r="Q34" s="43">
        <f t="shared" si="1"/>
        <v>1005.5870055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48" customFormat="1" ht="54.75" customHeight="1" hidden="1" thickBot="1" thickTop="1">
      <c r="A35" s="37">
        <v>1611</v>
      </c>
      <c r="B35" s="38" t="s">
        <v>82</v>
      </c>
      <c r="C35" s="39" t="s">
        <v>83</v>
      </c>
      <c r="D35" s="40">
        <v>39844</v>
      </c>
      <c r="E35" s="41">
        <v>12133</v>
      </c>
      <c r="F35" s="42">
        <f>23451.65+('[1]CPI rates &amp; misc'!J34*11)</f>
        <v>294310.7</v>
      </c>
      <c r="G35" s="42">
        <v>25000</v>
      </c>
      <c r="H35" s="42">
        <v>0</v>
      </c>
      <c r="I35" s="42">
        <v>0</v>
      </c>
      <c r="J35" s="42">
        <f t="shared" si="3"/>
        <v>319310.7</v>
      </c>
      <c r="K35" s="43">
        <f t="shared" si="5"/>
        <v>5017.997435</v>
      </c>
      <c r="L35" s="44">
        <f t="shared" si="4"/>
        <v>294310.7</v>
      </c>
      <c r="M35" s="44">
        <f t="shared" si="4"/>
        <v>25000</v>
      </c>
      <c r="N35" s="44">
        <f t="shared" si="4"/>
        <v>0</v>
      </c>
      <c r="O35" s="44">
        <f t="shared" si="4"/>
        <v>0</v>
      </c>
      <c r="P35" s="45">
        <v>0</v>
      </c>
      <c r="Q35" s="43">
        <f t="shared" si="1"/>
        <v>5017.997435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48" customFormat="1" ht="36.75" customHeight="1" hidden="1" thickBot="1" thickTop="1">
      <c r="A36" s="37">
        <v>1614</v>
      </c>
      <c r="B36" s="38" t="s">
        <v>55</v>
      </c>
      <c r="C36" s="39" t="s">
        <v>84</v>
      </c>
      <c r="D36" s="40">
        <v>39447</v>
      </c>
      <c r="E36" s="41">
        <v>1834</v>
      </c>
      <c r="F36" s="42">
        <f>'[1]CPI rates &amp; misc'!S45</f>
        <v>10755.612000000001</v>
      </c>
      <c r="G36" s="42">
        <v>0</v>
      </c>
      <c r="H36" s="42">
        <v>0</v>
      </c>
      <c r="I36" s="42">
        <v>0</v>
      </c>
      <c r="J36" s="42">
        <f t="shared" si="3"/>
        <v>10755.612000000001</v>
      </c>
      <c r="K36" s="43">
        <f t="shared" si="5"/>
        <v>183.38318460000002</v>
      </c>
      <c r="L36" s="44">
        <f t="shared" si="4"/>
        <v>10755.612000000001</v>
      </c>
      <c r="M36" s="44">
        <f t="shared" si="4"/>
        <v>0</v>
      </c>
      <c r="N36" s="44">
        <f t="shared" si="4"/>
        <v>0</v>
      </c>
      <c r="O36" s="44">
        <f t="shared" si="4"/>
        <v>0</v>
      </c>
      <c r="P36" s="45">
        <v>0</v>
      </c>
      <c r="Q36" s="43">
        <f t="shared" si="1"/>
        <v>183.38318460000002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48" customFormat="1" ht="40.5" customHeight="1" hidden="1" thickBot="1" thickTop="1">
      <c r="A37" s="37">
        <v>1626</v>
      </c>
      <c r="B37" s="38" t="s">
        <v>44</v>
      </c>
      <c r="C37" s="39" t="s">
        <v>85</v>
      </c>
      <c r="D37" s="40">
        <v>39903</v>
      </c>
      <c r="E37" s="41">
        <v>1160</v>
      </c>
      <c r="F37" s="42">
        <f>(1600*3)+(1800*9)</f>
        <v>21000</v>
      </c>
      <c r="G37" s="42">
        <v>0</v>
      </c>
      <c r="H37" s="42">
        <v>0</v>
      </c>
      <c r="I37" s="42">
        <v>0</v>
      </c>
      <c r="J37" s="42">
        <f t="shared" si="3"/>
        <v>21000</v>
      </c>
      <c r="K37" s="43">
        <f t="shared" si="5"/>
        <v>358.04999999999995</v>
      </c>
      <c r="L37" s="44">
        <f aca="true" t="shared" si="6" ref="L37:O39">F37</f>
        <v>21000</v>
      </c>
      <c r="M37" s="44">
        <f t="shared" si="6"/>
        <v>0</v>
      </c>
      <c r="N37" s="44">
        <f t="shared" si="6"/>
        <v>0</v>
      </c>
      <c r="O37" s="44">
        <f t="shared" si="6"/>
        <v>0</v>
      </c>
      <c r="P37" s="45">
        <v>0</v>
      </c>
      <c r="Q37" s="43">
        <f t="shared" si="1"/>
        <v>358.04999999999995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48" customFormat="1" ht="30.75" customHeight="1" hidden="1" thickBot="1" thickTop="1">
      <c r="A38" s="37">
        <v>1627</v>
      </c>
      <c r="B38" s="38" t="s">
        <v>86</v>
      </c>
      <c r="C38" s="39" t="s">
        <v>87</v>
      </c>
      <c r="D38" s="40">
        <v>41394</v>
      </c>
      <c r="E38" s="41">
        <v>3298</v>
      </c>
      <c r="F38" s="42">
        <f>5183.36*12</f>
        <v>62200.31999999999</v>
      </c>
      <c r="G38" s="42">
        <f>(961.92*12)</f>
        <v>11543.039999999999</v>
      </c>
      <c r="H38" s="42">
        <f>(42*12)</f>
        <v>504</v>
      </c>
      <c r="I38" s="42">
        <v>0</v>
      </c>
      <c r="J38" s="42">
        <f t="shared" si="3"/>
        <v>74247.35999999999</v>
      </c>
      <c r="K38" s="43">
        <f t="shared" si="5"/>
        <v>1060.5154559999999</v>
      </c>
      <c r="L38" s="44">
        <f>F38</f>
        <v>62200.31999999999</v>
      </c>
      <c r="M38" s="44">
        <f t="shared" si="6"/>
        <v>11543.039999999999</v>
      </c>
      <c r="N38" s="44">
        <f t="shared" si="6"/>
        <v>504</v>
      </c>
      <c r="O38" s="44">
        <f t="shared" si="6"/>
        <v>0</v>
      </c>
      <c r="P38" s="45">
        <v>0</v>
      </c>
      <c r="Q38" s="43">
        <f t="shared" si="1"/>
        <v>1060.5154559999999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48" customFormat="1" ht="33.75" customHeight="1" hidden="1" thickBot="1" thickTop="1">
      <c r="A39" s="37" t="s">
        <v>88</v>
      </c>
      <c r="B39" s="38" t="s">
        <v>66</v>
      </c>
      <c r="C39" s="39" t="s">
        <v>89</v>
      </c>
      <c r="D39" s="53" t="s">
        <v>90</v>
      </c>
      <c r="E39" s="52" t="s">
        <v>68</v>
      </c>
      <c r="F39" s="42">
        <f>'[1]antenna'!T6</f>
        <v>15978.4632</v>
      </c>
      <c r="G39" s="42">
        <v>0</v>
      </c>
      <c r="H39" s="42">
        <v>0</v>
      </c>
      <c r="I39" s="42">
        <v>0</v>
      </c>
      <c r="J39" s="42">
        <f t="shared" si="3"/>
        <v>15978.4632</v>
      </c>
      <c r="K39" s="43">
        <f t="shared" si="5"/>
        <v>272.43279756</v>
      </c>
      <c r="L39" s="44">
        <f t="shared" si="6"/>
        <v>15978.4632</v>
      </c>
      <c r="M39" s="44">
        <f t="shared" si="6"/>
        <v>0</v>
      </c>
      <c r="N39" s="44">
        <f t="shared" si="6"/>
        <v>0</v>
      </c>
      <c r="O39" s="44">
        <f t="shared" si="6"/>
        <v>0</v>
      </c>
      <c r="P39" s="45">
        <v>0</v>
      </c>
      <c r="Q39" s="43">
        <f t="shared" si="1"/>
        <v>272.43279756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48" customFormat="1" ht="39" customHeight="1" hidden="1" thickBot="1" thickTop="1">
      <c r="A40" s="37">
        <v>1067</v>
      </c>
      <c r="B40" s="38" t="s">
        <v>66</v>
      </c>
      <c r="C40" s="39" t="s">
        <v>91</v>
      </c>
      <c r="D40" s="53" t="s">
        <v>90</v>
      </c>
      <c r="E40" s="52" t="s">
        <v>68</v>
      </c>
      <c r="F40" s="42">
        <f>'[1]antenna'!T5</f>
        <v>29305.841544000003</v>
      </c>
      <c r="G40" s="42">
        <v>0</v>
      </c>
      <c r="H40" s="42">
        <v>0</v>
      </c>
      <c r="I40" s="42">
        <v>0</v>
      </c>
      <c r="J40" s="42">
        <f t="shared" si="3"/>
        <v>29305.841544000003</v>
      </c>
      <c r="K40" s="43">
        <f>$K$5*F40</f>
        <v>499.6645983252</v>
      </c>
      <c r="L40" s="44">
        <f>F40</f>
        <v>29305.841544000003</v>
      </c>
      <c r="M40" s="44">
        <f>G40</f>
        <v>0</v>
      </c>
      <c r="N40" s="44">
        <f>H40</f>
        <v>0</v>
      </c>
      <c r="O40" s="44">
        <f>I40</f>
        <v>0</v>
      </c>
      <c r="P40" s="45">
        <v>0</v>
      </c>
      <c r="Q40" s="43">
        <f t="shared" si="1"/>
        <v>499.6645983252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48" customFormat="1" ht="46.5" customHeight="1" hidden="1" thickBot="1" thickTop="1">
      <c r="A41" s="37" t="s">
        <v>92</v>
      </c>
      <c r="B41" s="38" t="s">
        <v>93</v>
      </c>
      <c r="C41" s="39" t="s">
        <v>94</v>
      </c>
      <c r="D41" s="40">
        <v>42277</v>
      </c>
      <c r="E41" s="54">
        <v>554</v>
      </c>
      <c r="F41" s="42">
        <f>'[1]new exc rates sheet'!H5</f>
        <v>13988.52</v>
      </c>
      <c r="G41" s="42">
        <f>'[1]new exc rates sheet'!D37</f>
        <v>415.2956970325463</v>
      </c>
      <c r="H41" s="42">
        <v>0</v>
      </c>
      <c r="I41" s="55">
        <v>0</v>
      </c>
      <c r="J41" s="42">
        <f t="shared" si="3"/>
        <v>14403.815697032547</v>
      </c>
      <c r="K41" s="43">
        <f>$K$5*F41</f>
        <v>238.504266</v>
      </c>
      <c r="L41" s="44">
        <f>F41</f>
        <v>13988.52</v>
      </c>
      <c r="M41" s="44">
        <f>G41</f>
        <v>415.2956970325463</v>
      </c>
      <c r="N41" s="44">
        <v>0</v>
      </c>
      <c r="O41" s="44">
        <v>0</v>
      </c>
      <c r="P41" s="45">
        <v>0</v>
      </c>
      <c r="Q41" s="43">
        <f>K41</f>
        <v>238.504266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48" customFormat="1" ht="39.75" customHeight="1" hidden="1" thickBot="1" thickTop="1">
      <c r="A42" s="37" t="s">
        <v>95</v>
      </c>
      <c r="B42" s="38" t="s">
        <v>96</v>
      </c>
      <c r="C42" s="39" t="s">
        <v>94</v>
      </c>
      <c r="D42" s="40">
        <v>42277</v>
      </c>
      <c r="E42" s="54">
        <v>16683</v>
      </c>
      <c r="F42" s="42">
        <f>'[1]new exc rates sheet'!G5</f>
        <v>521343.75</v>
      </c>
      <c r="G42" s="42">
        <f>'[1]new exc rates sheet'!D36</f>
        <v>12506.097677967455</v>
      </c>
      <c r="H42" s="42">
        <v>0</v>
      </c>
      <c r="I42" s="55">
        <v>0</v>
      </c>
      <c r="J42" s="42">
        <f t="shared" si="3"/>
        <v>533849.8476779675</v>
      </c>
      <c r="K42" s="43">
        <f>$K$5*F42</f>
        <v>8888.910937499999</v>
      </c>
      <c r="L42" s="44">
        <f>F42</f>
        <v>521343.75</v>
      </c>
      <c r="M42" s="44">
        <f>G42</f>
        <v>12506.097677967455</v>
      </c>
      <c r="N42" s="44">
        <v>0</v>
      </c>
      <c r="O42" s="44">
        <v>0</v>
      </c>
      <c r="P42" s="45">
        <v>0</v>
      </c>
      <c r="Q42" s="43">
        <f>K42</f>
        <v>8888.910937499999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48" customFormat="1" ht="38.25" customHeight="1" hidden="1" thickBot="1" thickTop="1">
      <c r="A43" s="37">
        <v>1656</v>
      </c>
      <c r="B43" s="38" t="s">
        <v>97</v>
      </c>
      <c r="C43" s="39" t="s">
        <v>98</v>
      </c>
      <c r="D43" s="40">
        <v>41639</v>
      </c>
      <c r="E43" s="41">
        <v>6170</v>
      </c>
      <c r="F43" s="42">
        <f>12340*12</f>
        <v>148080</v>
      </c>
      <c r="G43" s="42">
        <v>0</v>
      </c>
      <c r="H43" s="42">
        <v>0</v>
      </c>
      <c r="I43" s="42">
        <v>0</v>
      </c>
      <c r="J43" s="42">
        <f aca="true" t="shared" si="7" ref="J43:J61">SUM(F43:I43)</f>
        <v>148080</v>
      </c>
      <c r="K43" s="43">
        <f>$K$5*F43</f>
        <v>2524.7639999999997</v>
      </c>
      <c r="L43" s="44">
        <f aca="true" t="shared" si="8" ref="L43:N44">F43</f>
        <v>148080</v>
      </c>
      <c r="M43" s="44">
        <f t="shared" si="8"/>
        <v>0</v>
      </c>
      <c r="N43" s="44">
        <f t="shared" si="8"/>
        <v>0</v>
      </c>
      <c r="O43" s="44">
        <f>I43</f>
        <v>0</v>
      </c>
      <c r="P43" s="45">
        <v>0</v>
      </c>
      <c r="Q43" s="43">
        <f>K43</f>
        <v>2524.7639999999997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48" customFormat="1" ht="39" customHeight="1" hidden="1" thickBot="1" thickTop="1">
      <c r="A44" s="37">
        <v>1669</v>
      </c>
      <c r="B44" s="38" t="s">
        <v>99</v>
      </c>
      <c r="C44" s="39" t="s">
        <v>100</v>
      </c>
      <c r="D44" s="40">
        <v>39844</v>
      </c>
      <c r="E44" s="41">
        <f>2060+1040</f>
        <v>3100</v>
      </c>
      <c r="F44" s="42">
        <f>4629.52+((4629.52*1.05)*11)</f>
        <v>58100.47600000001</v>
      </c>
      <c r="G44" s="42">
        <f>1183.5+((1183.5*1.1)*11)</f>
        <v>15503.850000000002</v>
      </c>
      <c r="H44" s="42">
        <v>0</v>
      </c>
      <c r="I44" s="42">
        <v>0</v>
      </c>
      <c r="J44" s="42">
        <f t="shared" si="7"/>
        <v>73604.32600000002</v>
      </c>
      <c r="K44" s="43">
        <f>$K$5*F44</f>
        <v>990.6131158000002</v>
      </c>
      <c r="L44" s="44">
        <f>F44</f>
        <v>58100.47600000001</v>
      </c>
      <c r="M44" s="44">
        <f t="shared" si="8"/>
        <v>15503.850000000002</v>
      </c>
      <c r="N44" s="44">
        <f t="shared" si="8"/>
        <v>0</v>
      </c>
      <c r="O44" s="44">
        <f>I44</f>
        <v>0</v>
      </c>
      <c r="P44" s="45">
        <v>0</v>
      </c>
      <c r="Q44" s="43">
        <f>K44</f>
        <v>990.6131158000002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48" customFormat="1" ht="30" customHeight="1" hidden="1" thickBot="1" thickTop="1">
      <c r="A45" s="37">
        <v>1461</v>
      </c>
      <c r="B45" s="38" t="s">
        <v>55</v>
      </c>
      <c r="C45" s="39" t="s">
        <v>101</v>
      </c>
      <c r="D45" s="40">
        <v>40755</v>
      </c>
      <c r="E45" s="41">
        <v>4700</v>
      </c>
      <c r="F45" s="42">
        <f>(5826*7)+(6000.78*5)</f>
        <v>70785.9</v>
      </c>
      <c r="G45" s="42">
        <v>0</v>
      </c>
      <c r="H45" s="42">
        <v>0</v>
      </c>
      <c r="I45" s="42">
        <v>0</v>
      </c>
      <c r="J45" s="42">
        <f t="shared" si="7"/>
        <v>70785.9</v>
      </c>
      <c r="K45" s="43">
        <f aca="true" t="shared" si="9" ref="K45:K61">$K$5*F45</f>
        <v>1206.8995949999999</v>
      </c>
      <c r="L45" s="44">
        <f>F45</f>
        <v>70785.9</v>
      </c>
      <c r="M45" s="44">
        <f>G45</f>
        <v>0</v>
      </c>
      <c r="N45" s="44">
        <f>H45</f>
        <v>0</v>
      </c>
      <c r="O45" s="44">
        <f>I45</f>
        <v>0</v>
      </c>
      <c r="P45" s="45">
        <v>0</v>
      </c>
      <c r="Q45" s="43">
        <f aca="true" t="shared" si="10" ref="Q45:Q68">K45</f>
        <v>1206.8995949999999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48" customFormat="1" ht="40.5" customHeight="1" hidden="1" thickBot="1" thickTop="1">
      <c r="A46" s="37">
        <v>1592</v>
      </c>
      <c r="B46" s="38" t="s">
        <v>102</v>
      </c>
      <c r="C46" s="39" t="s">
        <v>103</v>
      </c>
      <c r="D46" s="40">
        <v>40543</v>
      </c>
      <c r="E46" s="41">
        <v>1000</v>
      </c>
      <c r="F46" s="42">
        <f>1958.33*12</f>
        <v>23499.96</v>
      </c>
      <c r="G46" s="42">
        <f>((443.39*12)+860.06)*1.05</f>
        <v>6489.777</v>
      </c>
      <c r="H46" s="42">
        <v>0</v>
      </c>
      <c r="I46" s="42">
        <v>0</v>
      </c>
      <c r="J46" s="42">
        <f t="shared" si="7"/>
        <v>29989.737</v>
      </c>
      <c r="K46" s="43">
        <f t="shared" si="9"/>
        <v>400.67431799999997</v>
      </c>
      <c r="L46" s="44">
        <f>F46</f>
        <v>23499.96</v>
      </c>
      <c r="M46" s="44">
        <f aca="true" t="shared" si="11" ref="M46:O50">G46</f>
        <v>6489.777</v>
      </c>
      <c r="N46" s="44">
        <f t="shared" si="11"/>
        <v>0</v>
      </c>
      <c r="O46" s="44">
        <f t="shared" si="11"/>
        <v>0</v>
      </c>
      <c r="P46" s="45">
        <v>0</v>
      </c>
      <c r="Q46" s="43">
        <f t="shared" si="10"/>
        <v>400.67431799999997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48" customFormat="1" ht="42.75" customHeight="1" hidden="1" thickBot="1" thickTop="1">
      <c r="A47" s="37">
        <v>1668</v>
      </c>
      <c r="B47" s="38" t="s">
        <v>66</v>
      </c>
      <c r="C47" s="39" t="s">
        <v>104</v>
      </c>
      <c r="D47" s="40">
        <v>43404</v>
      </c>
      <c r="E47" s="41" t="s">
        <v>68</v>
      </c>
      <c r="F47" s="42">
        <f>'[1]antenna'!T9</f>
        <v>15870</v>
      </c>
      <c r="G47" s="42">
        <v>0</v>
      </c>
      <c r="H47" s="42">
        <v>0</v>
      </c>
      <c r="I47" s="42">
        <v>0</v>
      </c>
      <c r="J47" s="42">
        <f t="shared" si="7"/>
        <v>15870</v>
      </c>
      <c r="K47" s="43">
        <f t="shared" si="9"/>
        <v>270.5835</v>
      </c>
      <c r="L47" s="44">
        <f>F47</f>
        <v>15870</v>
      </c>
      <c r="M47" s="44">
        <f t="shared" si="11"/>
        <v>0</v>
      </c>
      <c r="N47" s="44">
        <f t="shared" si="11"/>
        <v>0</v>
      </c>
      <c r="O47" s="44">
        <f t="shared" si="11"/>
        <v>0</v>
      </c>
      <c r="P47" s="45">
        <v>0</v>
      </c>
      <c r="Q47" s="43">
        <f t="shared" si="10"/>
        <v>270.5835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48" customFormat="1" ht="42.75" customHeight="1" hidden="1" thickBot="1" thickTop="1">
      <c r="A48" s="37">
        <v>1658</v>
      </c>
      <c r="B48" s="38" t="str">
        <f>'[1]rates sheet graybar'!A68</f>
        <v>Printshop - basement</v>
      </c>
      <c r="C48" s="39" t="s">
        <v>105</v>
      </c>
      <c r="D48" s="40">
        <v>39995</v>
      </c>
      <c r="E48" s="47">
        <f>'[1]rates sheet graybar'!B68</f>
        <v>566.3</v>
      </c>
      <c r="F48" s="42">
        <f>'[1]rates sheet graybar'!C68</f>
        <v>0</v>
      </c>
      <c r="G48" s="42">
        <f>'[1]rates sheet graybar'!D68+'[1]rates sheet graybar'!E68+'[1]rates sheet graybar'!F68+'[1]rates sheet graybar'!G68</f>
        <v>1347.516</v>
      </c>
      <c r="H48" s="42">
        <f>'[1]rates sheet graybar'!H68</f>
        <v>0</v>
      </c>
      <c r="I48" s="42">
        <v>0</v>
      </c>
      <c r="J48" s="42">
        <f t="shared" si="7"/>
        <v>1347.516</v>
      </c>
      <c r="K48" s="43">
        <f t="shared" si="9"/>
        <v>0</v>
      </c>
      <c r="L48" s="44"/>
      <c r="M48" s="44"/>
      <c r="N48" s="44"/>
      <c r="O48" s="44">
        <f t="shared" si="11"/>
        <v>0</v>
      </c>
      <c r="P48" s="45"/>
      <c r="Q48" s="43">
        <f t="shared" si="10"/>
        <v>0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48" customFormat="1" ht="42.75" customHeight="1" hidden="1" thickBot="1" thickTop="1">
      <c r="A49" s="37">
        <v>1658</v>
      </c>
      <c r="B49" s="38" t="str">
        <f>'[1]rates sheet graybar'!A69</f>
        <v>FMD/BS - basement</v>
      </c>
      <c r="C49" s="39" t="s">
        <v>105</v>
      </c>
      <c r="D49" s="40">
        <v>39995</v>
      </c>
      <c r="E49" s="47">
        <f>'[1]rates sheet graybar'!B69</f>
        <v>6423.5</v>
      </c>
      <c r="F49" s="42">
        <f>'[1]rates sheet graybar'!C69</f>
        <v>0</v>
      </c>
      <c r="G49" s="42">
        <f>'[1]rates sheet graybar'!D69+'[1]rates sheet graybar'!E69+'[1]rates sheet graybar'!F69+'[1]rates sheet graybar'!G69</f>
        <v>9079.02</v>
      </c>
      <c r="H49" s="42">
        <f>'[1]rates sheet graybar'!H69</f>
        <v>0</v>
      </c>
      <c r="I49" s="42">
        <v>0</v>
      </c>
      <c r="J49" s="42">
        <f t="shared" si="7"/>
        <v>9079.02</v>
      </c>
      <c r="K49" s="43">
        <f t="shared" si="9"/>
        <v>0</v>
      </c>
      <c r="L49" s="44"/>
      <c r="M49" s="44"/>
      <c r="N49" s="44"/>
      <c r="O49" s="44">
        <f t="shared" si="11"/>
        <v>0</v>
      </c>
      <c r="P49" s="45"/>
      <c r="Q49" s="43">
        <f t="shared" si="10"/>
        <v>0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48" customFormat="1" ht="42.75" customHeight="1" hidden="1" thickBot="1" thickTop="1">
      <c r="A50" s="37">
        <v>1658</v>
      </c>
      <c r="B50" s="38" t="str">
        <f>'[1]rates sheet graybar'!A70</f>
        <v>DAJD - basement</v>
      </c>
      <c r="C50" s="39" t="s">
        <v>105</v>
      </c>
      <c r="D50" s="40">
        <v>39995</v>
      </c>
      <c r="E50" s="47">
        <f>'[1]rates sheet graybar'!B70</f>
        <v>1132.6</v>
      </c>
      <c r="F50" s="42">
        <f>'[1]rates sheet graybar'!C70</f>
        <v>0</v>
      </c>
      <c r="G50" s="42">
        <f>'[1]rates sheet graybar'!D70+'[1]rates sheet graybar'!E70+'[1]rates sheet graybar'!F70+'[1]rates sheet graybar'!G70</f>
        <v>2095.032</v>
      </c>
      <c r="H50" s="42">
        <f>'[1]rates sheet graybar'!H70</f>
        <v>0</v>
      </c>
      <c r="I50" s="42">
        <v>0</v>
      </c>
      <c r="J50" s="42">
        <f t="shared" si="7"/>
        <v>2095.032</v>
      </c>
      <c r="K50" s="43">
        <f t="shared" si="9"/>
        <v>0</v>
      </c>
      <c r="L50" s="44"/>
      <c r="M50" s="44"/>
      <c r="N50" s="44"/>
      <c r="O50" s="44">
        <f t="shared" si="11"/>
        <v>0</v>
      </c>
      <c r="P50" s="45"/>
      <c r="Q50" s="43">
        <f t="shared" si="10"/>
        <v>0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48" customFormat="1" ht="30" customHeight="1" hidden="1" thickBot="1" thickTop="1">
      <c r="A51" s="37">
        <v>1658</v>
      </c>
      <c r="B51" s="38" t="str">
        <f>'[1]rates sheet graybar'!A71</f>
        <v>Printshop 1st floor</v>
      </c>
      <c r="C51" s="39" t="s">
        <v>105</v>
      </c>
      <c r="D51" s="40">
        <v>39995</v>
      </c>
      <c r="E51" s="47">
        <f>'[1]rates sheet graybar'!B71</f>
        <v>5495.8</v>
      </c>
      <c r="F51" s="42">
        <f>'[1]rates sheet graybar'!C71</f>
        <v>72929.266</v>
      </c>
      <c r="G51" s="42">
        <f>'[1]rates sheet graybar'!D71+'[1]rates sheet graybar'!E71+'[1]rates sheet graybar'!F71+'[1]rates sheet graybar'!G71</f>
        <v>36656.986000000004</v>
      </c>
      <c r="H51" s="42">
        <f>'[1]rates sheet graybar'!H71</f>
        <v>21488.578</v>
      </c>
      <c r="I51" s="42">
        <v>0</v>
      </c>
      <c r="J51" s="42">
        <f t="shared" si="7"/>
        <v>131074.83000000002</v>
      </c>
      <c r="K51" s="43">
        <f t="shared" si="9"/>
        <v>1243.4439853</v>
      </c>
      <c r="L51" s="44"/>
      <c r="M51" s="44"/>
      <c r="N51" s="44"/>
      <c r="O51" s="44"/>
      <c r="P51" s="45"/>
      <c r="Q51" s="43">
        <f t="shared" si="10"/>
        <v>1243.4439853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48" customFormat="1" ht="30" customHeight="1" hidden="1" thickBot="1" thickTop="1">
      <c r="A52" s="37">
        <v>1658</v>
      </c>
      <c r="B52" s="38" t="str">
        <f>'[1]rates sheet graybar'!A72</f>
        <v>FMD/BS - 1st floor</v>
      </c>
      <c r="C52" s="39" t="s">
        <v>105</v>
      </c>
      <c r="D52" s="40">
        <v>39995</v>
      </c>
      <c r="E52" s="47">
        <f>'[1]rates sheet graybar'!B72</f>
        <v>3016.6</v>
      </c>
      <c r="F52" s="42">
        <f>'[1]rates sheet graybar'!C72</f>
        <v>40030.282</v>
      </c>
      <c r="G52" s="42">
        <f>'[1]rates sheet graybar'!D72+'[1]rates sheet graybar'!E72+'[1]rates sheet graybar'!F72+'[1]rates sheet graybar'!G72</f>
        <v>4585.232</v>
      </c>
      <c r="H52" s="42">
        <f>'[1]rates sheet graybar'!H72</f>
        <v>11794.906</v>
      </c>
      <c r="I52" s="42">
        <v>0</v>
      </c>
      <c r="J52" s="42">
        <f t="shared" si="7"/>
        <v>56410.42</v>
      </c>
      <c r="K52" s="43">
        <f t="shared" si="9"/>
        <v>682.5163081</v>
      </c>
      <c r="L52" s="44"/>
      <c r="M52" s="44"/>
      <c r="N52" s="44"/>
      <c r="O52" s="44"/>
      <c r="P52" s="45"/>
      <c r="Q52" s="43">
        <f t="shared" si="10"/>
        <v>682.5163081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48" customFormat="1" ht="30" customHeight="1" hidden="1" thickBot="1" thickTop="1">
      <c r="A53" s="37">
        <v>1658</v>
      </c>
      <c r="B53" s="38" t="str">
        <f>'[1]rates sheet graybar'!A73</f>
        <v>FMD/BS - carpenters 1st floor</v>
      </c>
      <c r="C53" s="39" t="s">
        <v>105</v>
      </c>
      <c r="D53" s="40">
        <v>39995</v>
      </c>
      <c r="E53" s="47">
        <f>'[1]rates sheet graybar'!B73</f>
        <v>1940.6</v>
      </c>
      <c r="F53" s="42">
        <f>'[1]rates sheet graybar'!C73</f>
        <v>25751.762</v>
      </c>
      <c r="G53" s="42">
        <f>'[1]rates sheet graybar'!D73+'[1]rates sheet graybar'!E73+'[1]rates sheet graybar'!F73+'[1]rates sheet graybar'!G73</f>
        <v>2949.712</v>
      </c>
      <c r="H53" s="42">
        <f>'[1]rates sheet graybar'!H73</f>
        <v>7587.746</v>
      </c>
      <c r="I53" s="42">
        <v>0</v>
      </c>
      <c r="J53" s="42">
        <f t="shared" si="7"/>
        <v>36289.22</v>
      </c>
      <c r="K53" s="43">
        <f t="shared" si="9"/>
        <v>439.06754209999997</v>
      </c>
      <c r="L53" s="44">
        <v>0</v>
      </c>
      <c r="M53" s="44">
        <v>0</v>
      </c>
      <c r="N53" s="44">
        <v>0</v>
      </c>
      <c r="O53" s="44">
        <v>0</v>
      </c>
      <c r="P53" s="45">
        <v>0</v>
      </c>
      <c r="Q53" s="43">
        <f t="shared" si="10"/>
        <v>439.06754209999997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48" customFormat="1" ht="30" customHeight="1" hidden="1" thickBot="1" thickTop="1">
      <c r="A54" s="37">
        <v>1658</v>
      </c>
      <c r="B54" s="38" t="str">
        <f>'[1]rates sheet graybar'!A74</f>
        <v>Print Shop 2nd floor</v>
      </c>
      <c r="C54" s="39" t="s">
        <v>105</v>
      </c>
      <c r="D54" s="40">
        <v>39995</v>
      </c>
      <c r="E54" s="47">
        <f>'[1]rates sheet graybar'!B74</f>
        <v>795.2</v>
      </c>
      <c r="F54" s="42">
        <f>'[1]rates sheet graybar'!C74</f>
        <v>10552.304</v>
      </c>
      <c r="G54" s="42">
        <f>'[1]rates sheet graybar'!D74+'[1]rates sheet graybar'!E74+'[1]rates sheet graybar'!F74+'[1]rates sheet graybar'!G74</f>
        <v>1208.7040000000002</v>
      </c>
      <c r="H54" s="42">
        <f>'[1]rates sheet graybar'!H74</f>
        <v>3109.2320000000004</v>
      </c>
      <c r="I54" s="42">
        <v>0</v>
      </c>
      <c r="J54" s="42">
        <f t="shared" si="7"/>
        <v>14870.24</v>
      </c>
      <c r="K54" s="43">
        <f t="shared" si="9"/>
        <v>179.9167832</v>
      </c>
      <c r="L54" s="44">
        <v>0</v>
      </c>
      <c r="M54" s="44">
        <v>0</v>
      </c>
      <c r="N54" s="44">
        <v>0</v>
      </c>
      <c r="O54" s="44">
        <v>0</v>
      </c>
      <c r="P54" s="45">
        <v>0</v>
      </c>
      <c r="Q54" s="43">
        <f t="shared" si="10"/>
        <v>179.9167832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48" customFormat="1" ht="30" customHeight="1" thickBot="1" thickTop="1">
      <c r="A55" s="37">
        <v>1658</v>
      </c>
      <c r="B55" s="38" t="str">
        <f>'[1]rates sheet graybar'!A75</f>
        <v>RAL's RM 2nd floor</v>
      </c>
      <c r="C55" s="39" t="s">
        <v>105</v>
      </c>
      <c r="D55" s="40">
        <v>39995</v>
      </c>
      <c r="E55" s="47">
        <f>'[1]rates sheet graybar'!B75</f>
        <v>2933.4</v>
      </c>
      <c r="F55" s="42">
        <f>'[1]rates sheet graybar'!C75</f>
        <v>38926.218</v>
      </c>
      <c r="G55" s="42">
        <f>'[1]rates sheet graybar'!D75+'[1]rates sheet graybar'!E75+'[1]rates sheet graybar'!F75+'[1]rates sheet graybar'!G75</f>
        <v>4458.768</v>
      </c>
      <c r="H55" s="42">
        <f>'[1]rates sheet graybar'!H75</f>
        <v>11469.594000000001</v>
      </c>
      <c r="I55" s="42">
        <v>0</v>
      </c>
      <c r="J55" s="42">
        <f t="shared" si="7"/>
        <v>54854.58</v>
      </c>
      <c r="K55" s="43">
        <f t="shared" si="9"/>
        <v>663.6920169</v>
      </c>
      <c r="L55" s="44">
        <v>0</v>
      </c>
      <c r="M55" s="44">
        <v>0</v>
      </c>
      <c r="N55" s="44">
        <v>0</v>
      </c>
      <c r="O55" s="44">
        <v>0</v>
      </c>
      <c r="P55" s="45">
        <v>0</v>
      </c>
      <c r="Q55" s="43">
        <f t="shared" si="10"/>
        <v>663.6920169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48" customFormat="1" ht="30" customHeight="1" hidden="1" thickBot="1" thickTop="1">
      <c r="A56" s="37">
        <v>1658</v>
      </c>
      <c r="B56" s="38" t="str">
        <f>'[1]rates sheet graybar'!A76</f>
        <v>HRD - Video - 2nd floor</v>
      </c>
      <c r="C56" s="39" t="s">
        <v>105</v>
      </c>
      <c r="D56" s="40">
        <v>39995</v>
      </c>
      <c r="E56" s="47">
        <f>'[1]rates sheet graybar'!B76</f>
        <v>495.5</v>
      </c>
      <c r="F56" s="42">
        <f>'[1]rates sheet graybar'!C76</f>
        <v>6575.285</v>
      </c>
      <c r="G56" s="42">
        <f>'[1]rates sheet graybar'!D76+'[1]rates sheet graybar'!E76+'[1]rates sheet graybar'!F76+'[1]rates sheet graybar'!G76</f>
        <v>753.16</v>
      </c>
      <c r="H56" s="42">
        <f>'[1]rates sheet graybar'!H76</f>
        <v>1937.405</v>
      </c>
      <c r="I56" s="42">
        <v>0</v>
      </c>
      <c r="J56" s="42">
        <f t="shared" si="7"/>
        <v>9265.85</v>
      </c>
      <c r="K56" s="43">
        <f t="shared" si="9"/>
        <v>112.10860924999999</v>
      </c>
      <c r="L56" s="44">
        <v>0</v>
      </c>
      <c r="M56" s="44">
        <v>0</v>
      </c>
      <c r="N56" s="44">
        <v>0</v>
      </c>
      <c r="O56" s="44">
        <v>0</v>
      </c>
      <c r="P56" s="45">
        <v>0</v>
      </c>
      <c r="Q56" s="43">
        <f t="shared" si="10"/>
        <v>112.10860924999999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48" customFormat="1" ht="30" customHeight="1" hidden="1" thickBot="1" thickTop="1">
      <c r="A57" s="37">
        <v>1658</v>
      </c>
      <c r="B57" s="38" t="str">
        <f>'[1]rates sheet graybar'!A77</f>
        <v>DPH - 2nd floor</v>
      </c>
      <c r="C57" s="39" t="s">
        <v>105</v>
      </c>
      <c r="D57" s="40">
        <v>39995</v>
      </c>
      <c r="E57" s="47">
        <f>'[1]rates sheet graybar'!B77</f>
        <v>1412.5</v>
      </c>
      <c r="F57" s="42">
        <f>'[1]rates sheet graybar'!C77</f>
        <v>18743.875</v>
      </c>
      <c r="G57" s="42">
        <f>'[1]rates sheet graybar'!D77+'[1]rates sheet graybar'!E77+'[1]rates sheet graybar'!F77+'[1]rates sheet graybar'!G77</f>
        <v>2747</v>
      </c>
      <c r="H57" s="42">
        <f>'[1]rates sheet graybar'!H77</f>
        <v>5522.875</v>
      </c>
      <c r="I57" s="42">
        <v>0</v>
      </c>
      <c r="J57" s="42">
        <f t="shared" si="7"/>
        <v>27013.75</v>
      </c>
      <c r="K57" s="43">
        <f t="shared" si="9"/>
        <v>319.58306875</v>
      </c>
      <c r="L57" s="44">
        <v>0</v>
      </c>
      <c r="M57" s="44">
        <v>0</v>
      </c>
      <c r="N57" s="44">
        <v>0</v>
      </c>
      <c r="O57" s="44">
        <v>0</v>
      </c>
      <c r="P57" s="45">
        <v>0</v>
      </c>
      <c r="Q57" s="43">
        <f t="shared" si="10"/>
        <v>319.58306875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48" customFormat="1" ht="30" customHeight="1" hidden="1" thickBot="1" thickTop="1">
      <c r="A58" s="37">
        <v>1658</v>
      </c>
      <c r="B58" s="38" t="str">
        <f>'[1]rates sheet graybar'!A78</f>
        <v>DAJD - 2nd floor</v>
      </c>
      <c r="C58" s="39" t="s">
        <v>105</v>
      </c>
      <c r="D58" s="40">
        <v>39995</v>
      </c>
      <c r="E58" s="47">
        <f>'[1]rates sheet graybar'!B78</f>
        <v>3247.1</v>
      </c>
      <c r="F58" s="42">
        <f>'[1]rates sheet graybar'!C78</f>
        <v>43089.017</v>
      </c>
      <c r="G58" s="42">
        <f>'[1]rates sheet graybar'!D78+'[1]rates sheet graybar'!E78+'[1]rates sheet graybar'!F78+'[1]rates sheet graybar'!G78</f>
        <v>4935.592</v>
      </c>
      <c r="H58" s="42">
        <f>'[1]rates sheet graybar'!H78</f>
        <v>12696.161</v>
      </c>
      <c r="I58" s="42">
        <v>3010.65</v>
      </c>
      <c r="J58" s="42">
        <f t="shared" si="7"/>
        <v>63731.42</v>
      </c>
      <c r="K58" s="43">
        <f t="shared" si="9"/>
        <v>734.66773985</v>
      </c>
      <c r="L58" s="44">
        <v>0</v>
      </c>
      <c r="M58" s="44">
        <v>0</v>
      </c>
      <c r="N58" s="44">
        <v>0</v>
      </c>
      <c r="O58" s="44">
        <f>I58</f>
        <v>3010.65</v>
      </c>
      <c r="P58" s="45">
        <v>0</v>
      </c>
      <c r="Q58" s="43">
        <f t="shared" si="10"/>
        <v>734.66773985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48" customFormat="1" ht="30" customHeight="1" hidden="1" thickBot="1" thickTop="1">
      <c r="A59" s="37">
        <v>1658</v>
      </c>
      <c r="B59" s="38" t="str">
        <f>'[1]rates sheet graybar'!A79</f>
        <v>DOT/Transit - 2nd floor storage</v>
      </c>
      <c r="C59" s="39" t="s">
        <v>105</v>
      </c>
      <c r="D59" s="40">
        <v>39995</v>
      </c>
      <c r="E59" s="47">
        <f>'[1]rates sheet graybar'!B79</f>
        <v>1212.6</v>
      </c>
      <c r="F59" s="42">
        <f>'[1]rates sheet graybar'!C79</f>
        <v>16091.201999999997</v>
      </c>
      <c r="G59" s="42">
        <f>'[1]rates sheet graybar'!D79+'[1]rates sheet graybar'!E79+'[1]rates sheet graybar'!F79+'[1]rates sheet graybar'!G79</f>
        <v>1600.632</v>
      </c>
      <c r="H59" s="42">
        <f>'[1]rates sheet graybar'!H79</f>
        <v>0</v>
      </c>
      <c r="I59" s="42">
        <v>0</v>
      </c>
      <c r="J59" s="42">
        <f t="shared" si="7"/>
        <v>17691.834</v>
      </c>
      <c r="K59" s="43">
        <f t="shared" si="9"/>
        <v>274.35499409999994</v>
      </c>
      <c r="L59" s="44">
        <v>0</v>
      </c>
      <c r="M59" s="44">
        <v>0</v>
      </c>
      <c r="N59" s="44">
        <v>0</v>
      </c>
      <c r="O59" s="44">
        <v>0</v>
      </c>
      <c r="P59" s="45">
        <v>0</v>
      </c>
      <c r="Q59" s="43">
        <f t="shared" si="10"/>
        <v>274.35499409999994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48" customFormat="1" ht="30" customHeight="1" hidden="1" thickBot="1" thickTop="1">
      <c r="A60" s="37">
        <v>1658</v>
      </c>
      <c r="B60" s="38" t="str">
        <f>'[1]rates sheet graybar'!A80</f>
        <v>DNRP/SW - 2nd floor storage</v>
      </c>
      <c r="C60" s="39" t="s">
        <v>105</v>
      </c>
      <c r="D60" s="40">
        <v>39995</v>
      </c>
      <c r="E60" s="47">
        <f>'[1]rates sheet graybar'!B80</f>
        <v>585.3</v>
      </c>
      <c r="F60" s="42">
        <f>'[1]rates sheet graybar'!C80</f>
        <v>7766.931</v>
      </c>
      <c r="G60" s="42">
        <f>'[1]rates sheet graybar'!D80+'[1]rates sheet graybar'!E80+'[1]rates sheet graybar'!F80+'[1]rates sheet graybar'!G80</f>
        <v>772.596</v>
      </c>
      <c r="H60" s="42">
        <f>'[1]rates sheet graybar'!H80</f>
        <v>0</v>
      </c>
      <c r="I60" s="42">
        <v>0</v>
      </c>
      <c r="J60" s="42">
        <f t="shared" si="7"/>
        <v>8539.527</v>
      </c>
      <c r="K60" s="43">
        <f t="shared" si="9"/>
        <v>132.42617355</v>
      </c>
      <c r="L60" s="44">
        <v>0</v>
      </c>
      <c r="M60" s="44">
        <v>0</v>
      </c>
      <c r="N60" s="44">
        <v>0</v>
      </c>
      <c r="O60" s="44">
        <v>0</v>
      </c>
      <c r="P60" s="45">
        <v>0</v>
      </c>
      <c r="Q60" s="43">
        <f t="shared" si="10"/>
        <v>132.42617355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48" customFormat="1" ht="30" customHeight="1" hidden="1" thickBot="1" thickTop="1">
      <c r="A61" s="37">
        <v>1658</v>
      </c>
      <c r="B61" s="38" t="str">
        <f>'[1]rates sheet graybar'!A81</f>
        <v>HRD - Video - 2nd floor storage</v>
      </c>
      <c r="C61" s="39" t="s">
        <v>105</v>
      </c>
      <c r="D61" s="40">
        <v>39995</v>
      </c>
      <c r="E61" s="47">
        <f>'[1]rates sheet graybar'!B81</f>
        <v>2075.5</v>
      </c>
      <c r="F61" s="42">
        <f>'[1]rates sheet graybar'!C81</f>
        <v>27541.885</v>
      </c>
      <c r="G61" s="42">
        <f>'[1]rates sheet graybar'!D81+'[1]rates sheet graybar'!E81+'[1]rates sheet graybar'!F81+'[1]rates sheet graybar'!G81</f>
        <v>2739.6600000000003</v>
      </c>
      <c r="H61" s="42">
        <f>'[1]rates sheet graybar'!H81</f>
        <v>0</v>
      </c>
      <c r="I61" s="42">
        <v>0</v>
      </c>
      <c r="J61" s="42">
        <f t="shared" si="7"/>
        <v>30281.545</v>
      </c>
      <c r="K61" s="43">
        <f t="shared" si="9"/>
        <v>469.58913924999996</v>
      </c>
      <c r="L61" s="44">
        <v>0</v>
      </c>
      <c r="M61" s="44">
        <v>0</v>
      </c>
      <c r="N61" s="44">
        <v>0</v>
      </c>
      <c r="O61" s="44">
        <v>0</v>
      </c>
      <c r="P61" s="45">
        <v>0</v>
      </c>
      <c r="Q61" s="43">
        <f t="shared" si="10"/>
        <v>469.58913924999996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48" customFormat="1" ht="30" customHeight="1" hidden="1" thickBot="1" thickTop="1">
      <c r="A62" s="37">
        <v>1658</v>
      </c>
      <c r="B62" s="38" t="s">
        <v>106</v>
      </c>
      <c r="C62" s="39" t="s">
        <v>105</v>
      </c>
      <c r="D62" s="40"/>
      <c r="E62" s="41"/>
      <c r="F62" s="42"/>
      <c r="G62" s="42"/>
      <c r="H62" s="42" t="s">
        <v>1</v>
      </c>
      <c r="I62" s="42"/>
      <c r="J62" s="42"/>
      <c r="K62" s="43"/>
      <c r="L62" s="44">
        <f>'[1]rates sheet graybar'!C83</f>
        <v>307998.027</v>
      </c>
      <c r="M62" s="44">
        <f>SUM('[1]rates sheet graybar'!D83:G83)</f>
        <v>75929.61</v>
      </c>
      <c r="N62" s="50">
        <f>'[1]rates sheet graybar'!H83</f>
        <v>75606.497</v>
      </c>
      <c r="O62" s="44">
        <v>0</v>
      </c>
      <c r="P62" s="45"/>
      <c r="Q62" s="43">
        <f t="shared" si="10"/>
        <v>0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48" customFormat="1" ht="34.5" customHeight="1" hidden="1" thickBot="1" thickTop="1">
      <c r="A63" s="37">
        <v>1693</v>
      </c>
      <c r="B63" s="38" t="s">
        <v>107</v>
      </c>
      <c r="C63" s="39" t="s">
        <v>108</v>
      </c>
      <c r="D63" s="40">
        <v>48760</v>
      </c>
      <c r="E63" s="41">
        <v>8260</v>
      </c>
      <c r="F63" s="42">
        <f>5757.92*12</f>
        <v>69095.04000000001</v>
      </c>
      <c r="G63" s="42">
        <v>0</v>
      </c>
      <c r="H63" s="42">
        <f>(1557.59*12)</f>
        <v>18691.079999999998</v>
      </c>
      <c r="I63" s="42">
        <v>0</v>
      </c>
      <c r="J63" s="42">
        <f>SUM(F63:I63)</f>
        <v>87786.12000000001</v>
      </c>
      <c r="K63" s="43">
        <f>$K$5*F63</f>
        <v>1178.070432</v>
      </c>
      <c r="L63" s="44">
        <f aca="true" t="shared" si="12" ref="L63:O77">F63</f>
        <v>69095.04000000001</v>
      </c>
      <c r="M63" s="44">
        <f t="shared" si="12"/>
        <v>0</v>
      </c>
      <c r="N63" s="44">
        <f t="shared" si="12"/>
        <v>18691.079999999998</v>
      </c>
      <c r="O63" s="44">
        <f t="shared" si="12"/>
        <v>0</v>
      </c>
      <c r="P63" s="45">
        <v>0</v>
      </c>
      <c r="Q63" s="43">
        <f t="shared" si="10"/>
        <v>1178.070432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48" customFormat="1" ht="30" customHeight="1" hidden="1" thickBot="1" thickTop="1">
      <c r="A64" s="37">
        <v>1686</v>
      </c>
      <c r="B64" s="38" t="s">
        <v>42</v>
      </c>
      <c r="C64" s="39" t="s">
        <v>109</v>
      </c>
      <c r="D64" s="40">
        <v>40421</v>
      </c>
      <c r="E64" s="41">
        <v>3491</v>
      </c>
      <c r="F64" s="42">
        <f>(7273*12)</f>
        <v>87276</v>
      </c>
      <c r="G64" s="42">
        <f>'[1]CPI rates &amp; misc'!T35</f>
        <v>8007.628008000002</v>
      </c>
      <c r="H64" s="42">
        <v>0</v>
      </c>
      <c r="I64" s="42">
        <v>0</v>
      </c>
      <c r="J64" s="42">
        <f>SUM(F64:I64)</f>
        <v>95283.628008</v>
      </c>
      <c r="K64" s="43">
        <f>$K$5*F64</f>
        <v>1488.0557999999999</v>
      </c>
      <c r="L64" s="44">
        <f t="shared" si="12"/>
        <v>87276</v>
      </c>
      <c r="M64" s="44">
        <f t="shared" si="12"/>
        <v>8007.628008000002</v>
      </c>
      <c r="N64" s="44">
        <f t="shared" si="12"/>
        <v>0</v>
      </c>
      <c r="O64" s="44">
        <f t="shared" si="12"/>
        <v>0</v>
      </c>
      <c r="P64" s="45">
        <v>0</v>
      </c>
      <c r="Q64" s="43">
        <f t="shared" si="10"/>
        <v>1488.0557999999999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48" customFormat="1" ht="36.75" customHeight="1" hidden="1" thickBot="1" thickTop="1">
      <c r="A65" s="37">
        <v>1667</v>
      </c>
      <c r="B65" s="38" t="s">
        <v>66</v>
      </c>
      <c r="C65" s="39" t="s">
        <v>110</v>
      </c>
      <c r="D65" s="40">
        <v>41912</v>
      </c>
      <c r="E65" s="52" t="s">
        <v>111</v>
      </c>
      <c r="F65" s="42">
        <f>'[1]antenna'!T8</f>
        <v>45277.651155055966</v>
      </c>
      <c r="G65" s="42">
        <v>0</v>
      </c>
      <c r="H65" s="42">
        <v>0</v>
      </c>
      <c r="I65" s="42">
        <v>0</v>
      </c>
      <c r="J65" s="42">
        <f>SUM(F65:I65)</f>
        <v>45277.651155055966</v>
      </c>
      <c r="K65" s="43">
        <f>$K$5*F65</f>
        <v>771.9839521937042</v>
      </c>
      <c r="L65" s="44">
        <f t="shared" si="12"/>
        <v>45277.651155055966</v>
      </c>
      <c r="M65" s="44">
        <f t="shared" si="12"/>
        <v>0</v>
      </c>
      <c r="N65" s="44">
        <f t="shared" si="12"/>
        <v>0</v>
      </c>
      <c r="O65" s="44">
        <f t="shared" si="12"/>
        <v>0</v>
      </c>
      <c r="P65" s="45">
        <v>0</v>
      </c>
      <c r="Q65" s="43">
        <f t="shared" si="10"/>
        <v>771.9839521937042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48" customFormat="1" ht="41.25" customHeight="1" hidden="1" thickBot="1" thickTop="1">
      <c r="A66" s="56">
        <v>1694</v>
      </c>
      <c r="B66" s="57" t="s">
        <v>192</v>
      </c>
      <c r="C66" s="58" t="s">
        <v>112</v>
      </c>
      <c r="D66" s="40">
        <v>39263</v>
      </c>
      <c r="E66" s="41">
        <v>5040</v>
      </c>
      <c r="F66" s="42">
        <v>0</v>
      </c>
      <c r="G66" s="42">
        <v>0</v>
      </c>
      <c r="H66" s="42">
        <v>0</v>
      </c>
      <c r="I66" s="42">
        <v>0</v>
      </c>
      <c r="J66" s="42">
        <f>SUM(F66:I66)</f>
        <v>0</v>
      </c>
      <c r="K66" s="43">
        <f>$K$5*F66</f>
        <v>0</v>
      </c>
      <c r="L66" s="44">
        <f t="shared" si="12"/>
        <v>0</v>
      </c>
      <c r="M66" s="44">
        <f t="shared" si="12"/>
        <v>0</v>
      </c>
      <c r="N66" s="44">
        <f t="shared" si="12"/>
        <v>0</v>
      </c>
      <c r="O66" s="44">
        <f t="shared" si="12"/>
        <v>0</v>
      </c>
      <c r="P66" s="45">
        <v>0</v>
      </c>
      <c r="Q66" s="43">
        <f t="shared" si="10"/>
        <v>0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48" customFormat="1" ht="42" customHeight="1" hidden="1" thickBot="1" thickTop="1">
      <c r="A67" s="37">
        <v>1720</v>
      </c>
      <c r="B67" s="38" t="s">
        <v>97</v>
      </c>
      <c r="C67" s="39" t="s">
        <v>113</v>
      </c>
      <c r="D67" s="40">
        <v>40421</v>
      </c>
      <c r="E67" s="41">
        <v>3307</v>
      </c>
      <c r="F67" s="42">
        <f>3563*12</f>
        <v>42756</v>
      </c>
      <c r="G67" s="42">
        <f>'[1]CPI rates &amp; misc'!D31</f>
        <v>13618.489500000001</v>
      </c>
      <c r="H67" s="42">
        <v>0</v>
      </c>
      <c r="I67" s="42">
        <v>0</v>
      </c>
      <c r="J67" s="42">
        <f>SUM(F67:I67)</f>
        <v>56374.4895</v>
      </c>
      <c r="K67" s="43">
        <f aca="true" t="shared" si="13" ref="K67:K77">$K$5*F67</f>
        <v>728.9898</v>
      </c>
      <c r="L67" s="44">
        <f t="shared" si="12"/>
        <v>42756</v>
      </c>
      <c r="M67" s="44">
        <f t="shared" si="12"/>
        <v>13618.489500000001</v>
      </c>
      <c r="N67" s="44">
        <f t="shared" si="12"/>
        <v>0</v>
      </c>
      <c r="O67" s="44">
        <f t="shared" si="12"/>
        <v>0</v>
      </c>
      <c r="P67" s="45">
        <v>0</v>
      </c>
      <c r="Q67" s="43">
        <f t="shared" si="10"/>
        <v>728.9898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48" customFormat="1" ht="42.75" customHeight="1" hidden="1" thickBot="1" thickTop="1">
      <c r="A68" s="37">
        <v>1755</v>
      </c>
      <c r="B68" s="38" t="s">
        <v>66</v>
      </c>
      <c r="C68" s="39" t="s">
        <v>114</v>
      </c>
      <c r="D68" s="40">
        <v>40816</v>
      </c>
      <c r="E68" s="41">
        <v>12500</v>
      </c>
      <c r="F68" s="42">
        <f>5865*12</f>
        <v>70380</v>
      </c>
      <c r="G68" s="42">
        <v>0</v>
      </c>
      <c r="H68" s="42">
        <v>0</v>
      </c>
      <c r="I68" s="42">
        <v>0</v>
      </c>
      <c r="J68" s="42">
        <f aca="true" t="shared" si="14" ref="J68:J75">SUM(F68:I68)</f>
        <v>70380</v>
      </c>
      <c r="K68" s="43">
        <f t="shared" si="13"/>
        <v>1199.979</v>
      </c>
      <c r="L68" s="44">
        <f t="shared" si="12"/>
        <v>70380</v>
      </c>
      <c r="M68" s="44">
        <f t="shared" si="12"/>
        <v>0</v>
      </c>
      <c r="N68" s="44">
        <f t="shared" si="12"/>
        <v>0</v>
      </c>
      <c r="O68" s="44">
        <f t="shared" si="12"/>
        <v>0</v>
      </c>
      <c r="P68" s="45">
        <v>0</v>
      </c>
      <c r="Q68" s="43">
        <f t="shared" si="10"/>
        <v>1199.979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48" customFormat="1" ht="37.5" customHeight="1" hidden="1" thickBot="1" thickTop="1">
      <c r="A69" s="37">
        <v>1511</v>
      </c>
      <c r="B69" s="36" t="s">
        <v>73</v>
      </c>
      <c r="C69" s="59" t="s">
        <v>115</v>
      </c>
      <c r="D69" s="40">
        <v>39813</v>
      </c>
      <c r="E69" s="41">
        <v>1216</v>
      </c>
      <c r="F69" s="42">
        <f>1500*12</f>
        <v>18000</v>
      </c>
      <c r="G69" s="42">
        <v>0</v>
      </c>
      <c r="H69" s="42">
        <v>0</v>
      </c>
      <c r="I69" s="42">
        <v>0</v>
      </c>
      <c r="J69" s="42">
        <f t="shared" si="14"/>
        <v>18000</v>
      </c>
      <c r="K69" s="43">
        <f t="shared" si="13"/>
        <v>306.9</v>
      </c>
      <c r="L69" s="44">
        <f t="shared" si="12"/>
        <v>18000</v>
      </c>
      <c r="M69" s="44">
        <f t="shared" si="12"/>
        <v>0</v>
      </c>
      <c r="N69" s="44">
        <f t="shared" si="12"/>
        <v>0</v>
      </c>
      <c r="O69" s="44">
        <f t="shared" si="12"/>
        <v>0</v>
      </c>
      <c r="P69" s="45">
        <v>0</v>
      </c>
      <c r="Q69" s="43">
        <f>K69</f>
        <v>306.9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s="48" customFormat="1" ht="37.5" customHeight="1" hidden="1" thickBot="1" thickTop="1">
      <c r="A70" s="37">
        <v>1791</v>
      </c>
      <c r="B70" s="36" t="s">
        <v>55</v>
      </c>
      <c r="C70" s="59" t="s">
        <v>116</v>
      </c>
      <c r="D70" s="40">
        <v>39813</v>
      </c>
      <c r="E70" s="41">
        <v>1680</v>
      </c>
      <c r="F70" s="42">
        <f>((444.77*12)*'[1]CPI rates &amp; misc'!B8)</f>
        <v>5604.102</v>
      </c>
      <c r="G70" s="42">
        <v>0</v>
      </c>
      <c r="H70" s="42">
        <v>0</v>
      </c>
      <c r="I70" s="42">
        <v>0</v>
      </c>
      <c r="J70" s="42">
        <f t="shared" si="14"/>
        <v>5604.102</v>
      </c>
      <c r="K70" s="43">
        <f t="shared" si="13"/>
        <v>95.54993909999999</v>
      </c>
      <c r="L70" s="44">
        <f t="shared" si="12"/>
        <v>5604.102</v>
      </c>
      <c r="M70" s="44">
        <f t="shared" si="12"/>
        <v>0</v>
      </c>
      <c r="N70" s="44">
        <v>0</v>
      </c>
      <c r="O70" s="44">
        <v>0</v>
      </c>
      <c r="P70" s="45">
        <v>0</v>
      </c>
      <c r="Q70" s="43">
        <f>K70</f>
        <v>95.54993909999999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s="48" customFormat="1" ht="37.5" customHeight="1" thickBot="1" thickTop="1">
      <c r="A71" s="60">
        <v>1776</v>
      </c>
      <c r="B71" s="61" t="s">
        <v>117</v>
      </c>
      <c r="C71" s="62" t="s">
        <v>118</v>
      </c>
      <c r="D71" s="40">
        <v>39813</v>
      </c>
      <c r="E71" s="41">
        <f>8407+1812</f>
        <v>10219</v>
      </c>
      <c r="F71" s="42">
        <v>0</v>
      </c>
      <c r="G71" s="42">
        <v>0</v>
      </c>
      <c r="H71" s="42">
        <v>0</v>
      </c>
      <c r="I71" s="42">
        <v>0</v>
      </c>
      <c r="J71" s="42">
        <f t="shared" si="14"/>
        <v>0</v>
      </c>
      <c r="K71" s="43">
        <f t="shared" si="13"/>
        <v>0</v>
      </c>
      <c r="L71" s="44">
        <f t="shared" si="12"/>
        <v>0</v>
      </c>
      <c r="M71" s="44">
        <f t="shared" si="12"/>
        <v>0</v>
      </c>
      <c r="N71" s="44">
        <f t="shared" si="12"/>
        <v>0</v>
      </c>
      <c r="O71" s="44">
        <f t="shared" si="12"/>
        <v>0</v>
      </c>
      <c r="P71" s="45">
        <v>0</v>
      </c>
      <c r="Q71" s="43">
        <f aca="true" t="shared" si="15" ref="Q71:Q76">K71</f>
        <v>0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48" customFormat="1" ht="37.5" customHeight="1" thickBot="1" thickTop="1">
      <c r="A72" s="60">
        <v>1776</v>
      </c>
      <c r="B72" s="61" t="s">
        <v>119</v>
      </c>
      <c r="C72" s="62" t="s">
        <v>118</v>
      </c>
      <c r="D72" s="40">
        <v>39813</v>
      </c>
      <c r="E72" s="41">
        <v>1700</v>
      </c>
      <c r="F72" s="42">
        <v>0</v>
      </c>
      <c r="G72" s="42">
        <v>0</v>
      </c>
      <c r="H72" s="42">
        <v>0</v>
      </c>
      <c r="I72" s="42">
        <v>0</v>
      </c>
      <c r="J72" s="42">
        <f t="shared" si="14"/>
        <v>0</v>
      </c>
      <c r="K72" s="43">
        <f t="shared" si="13"/>
        <v>0</v>
      </c>
      <c r="L72" s="44">
        <f t="shared" si="12"/>
        <v>0</v>
      </c>
      <c r="M72" s="44">
        <f t="shared" si="12"/>
        <v>0</v>
      </c>
      <c r="N72" s="44">
        <f t="shared" si="12"/>
        <v>0</v>
      </c>
      <c r="O72" s="44">
        <f t="shared" si="12"/>
        <v>0</v>
      </c>
      <c r="P72" s="45">
        <v>0</v>
      </c>
      <c r="Q72" s="43">
        <f t="shared" si="15"/>
        <v>0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48" customFormat="1" ht="37.5" customHeight="1" thickBot="1" thickTop="1">
      <c r="A73" s="60">
        <v>1776</v>
      </c>
      <c r="B73" s="61" t="s">
        <v>120</v>
      </c>
      <c r="C73" s="62" t="s">
        <v>118</v>
      </c>
      <c r="D73" s="40">
        <v>39813</v>
      </c>
      <c r="E73" s="41">
        <f>9639+2077+187</f>
        <v>11903</v>
      </c>
      <c r="F73" s="42">
        <v>0</v>
      </c>
      <c r="G73" s="42">
        <v>0</v>
      </c>
      <c r="H73" s="42">
        <v>0</v>
      </c>
      <c r="I73" s="42">
        <v>0</v>
      </c>
      <c r="J73" s="42">
        <f t="shared" si="14"/>
        <v>0</v>
      </c>
      <c r="K73" s="43">
        <f t="shared" si="13"/>
        <v>0</v>
      </c>
      <c r="L73" s="44">
        <f t="shared" si="12"/>
        <v>0</v>
      </c>
      <c r="M73" s="44">
        <f t="shared" si="12"/>
        <v>0</v>
      </c>
      <c r="N73" s="44">
        <f t="shared" si="12"/>
        <v>0</v>
      </c>
      <c r="O73" s="44">
        <f t="shared" si="12"/>
        <v>0</v>
      </c>
      <c r="P73" s="45">
        <v>0</v>
      </c>
      <c r="Q73" s="43">
        <f t="shared" si="15"/>
        <v>0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s="48" customFormat="1" ht="45.75" customHeight="1" thickBot="1" thickTop="1">
      <c r="A74" s="60">
        <v>1799</v>
      </c>
      <c r="B74" s="63" t="s">
        <v>193</v>
      </c>
      <c r="C74" s="62" t="s">
        <v>121</v>
      </c>
      <c r="D74" s="40">
        <v>39447</v>
      </c>
      <c r="E74" s="41">
        <v>6108</v>
      </c>
      <c r="F74" s="42">
        <v>0</v>
      </c>
      <c r="G74" s="42">
        <v>0</v>
      </c>
      <c r="H74" s="42">
        <v>0</v>
      </c>
      <c r="I74" s="42">
        <v>64128</v>
      </c>
      <c r="J74" s="42">
        <f t="shared" si="14"/>
        <v>64128</v>
      </c>
      <c r="K74" s="43">
        <f t="shared" si="13"/>
        <v>0</v>
      </c>
      <c r="L74" s="44">
        <f t="shared" si="12"/>
        <v>0</v>
      </c>
      <c r="M74" s="44">
        <f t="shared" si="12"/>
        <v>0</v>
      </c>
      <c r="N74" s="44">
        <f t="shared" si="12"/>
        <v>0</v>
      </c>
      <c r="O74" s="44">
        <f>J74</f>
        <v>64128</v>
      </c>
      <c r="P74" s="45">
        <v>0</v>
      </c>
      <c r="Q74" s="43">
        <f t="shared" si="15"/>
        <v>0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s="48" customFormat="1" ht="37.5" customHeight="1" thickBot="1" thickTop="1">
      <c r="A75" s="60">
        <v>1799</v>
      </c>
      <c r="B75" s="63" t="s">
        <v>194</v>
      </c>
      <c r="C75" s="62" t="s">
        <v>122</v>
      </c>
      <c r="D75" s="40">
        <v>39447</v>
      </c>
      <c r="E75" s="64">
        <v>2744</v>
      </c>
      <c r="F75" s="42">
        <v>0</v>
      </c>
      <c r="G75" s="42">
        <v>0</v>
      </c>
      <c r="H75" s="42">
        <v>0</v>
      </c>
      <c r="I75" s="42">
        <v>0</v>
      </c>
      <c r="J75" s="42">
        <f t="shared" si="14"/>
        <v>0</v>
      </c>
      <c r="K75" s="43">
        <f t="shared" si="13"/>
        <v>0</v>
      </c>
      <c r="L75" s="44">
        <f>F75</f>
        <v>0</v>
      </c>
      <c r="M75" s="44">
        <f t="shared" si="12"/>
        <v>0</v>
      </c>
      <c r="N75" s="44">
        <f t="shared" si="12"/>
        <v>0</v>
      </c>
      <c r="O75" s="44">
        <f t="shared" si="12"/>
        <v>0</v>
      </c>
      <c r="P75" s="45">
        <v>0</v>
      </c>
      <c r="Q75" s="43">
        <f>K75</f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48" customFormat="1" ht="37.5" customHeight="1" hidden="1" thickBot="1" thickTop="1">
      <c r="A76" s="56">
        <v>1772</v>
      </c>
      <c r="B76" s="65" t="s">
        <v>195</v>
      </c>
      <c r="C76" s="66" t="s">
        <v>123</v>
      </c>
      <c r="D76" s="40">
        <v>43478</v>
      </c>
      <c r="E76" s="67" t="s">
        <v>111</v>
      </c>
      <c r="F76" s="42">
        <f>'[1]antenna'!T10</f>
        <v>0</v>
      </c>
      <c r="G76" s="42">
        <v>0</v>
      </c>
      <c r="H76" s="42">
        <v>0</v>
      </c>
      <c r="I76" s="42">
        <v>0</v>
      </c>
      <c r="J76" s="42">
        <f aca="true" t="shared" si="16" ref="J76:J119">SUM(F76:I76)</f>
        <v>0</v>
      </c>
      <c r="K76" s="43">
        <f t="shared" si="13"/>
        <v>0</v>
      </c>
      <c r="L76" s="44">
        <f>F76</f>
        <v>0</v>
      </c>
      <c r="M76" s="44">
        <f t="shared" si="12"/>
        <v>0</v>
      </c>
      <c r="N76" s="44">
        <f t="shared" si="12"/>
        <v>0</v>
      </c>
      <c r="O76" s="44">
        <f t="shared" si="12"/>
        <v>0</v>
      </c>
      <c r="P76" s="45">
        <v>0</v>
      </c>
      <c r="Q76" s="43">
        <f t="shared" si="15"/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48" customFormat="1" ht="37.5" customHeight="1" hidden="1" thickBot="1" thickTop="1">
      <c r="A77" s="37">
        <v>1815</v>
      </c>
      <c r="B77" s="36" t="s">
        <v>86</v>
      </c>
      <c r="C77" s="39" t="s">
        <v>124</v>
      </c>
      <c r="D77" s="40">
        <v>41851</v>
      </c>
      <c r="E77" s="67">
        <v>1070</v>
      </c>
      <c r="F77" s="42">
        <f>2333*12</f>
        <v>27996</v>
      </c>
      <c r="G77" s="42">
        <v>0</v>
      </c>
      <c r="H77" s="42">
        <f>2465.12*12</f>
        <v>29581.44</v>
      </c>
      <c r="I77" s="42"/>
      <c r="J77" s="42">
        <f t="shared" si="16"/>
        <v>57577.44</v>
      </c>
      <c r="K77" s="43">
        <f t="shared" si="13"/>
        <v>477.3318</v>
      </c>
      <c r="L77" s="44">
        <f>F77</f>
        <v>27996</v>
      </c>
      <c r="M77" s="44">
        <f t="shared" si="12"/>
        <v>0</v>
      </c>
      <c r="N77" s="44">
        <f t="shared" si="12"/>
        <v>29581.44</v>
      </c>
      <c r="O77" s="44">
        <f t="shared" si="12"/>
        <v>0</v>
      </c>
      <c r="P77" s="45">
        <v>0</v>
      </c>
      <c r="Q77" s="43">
        <f>K77</f>
        <v>477.3318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48" customFormat="1" ht="37.5" customHeight="1" hidden="1" thickBot="1" thickTop="1">
      <c r="A78" s="37">
        <v>1816</v>
      </c>
      <c r="B78" s="36" t="s">
        <v>125</v>
      </c>
      <c r="C78" s="59" t="s">
        <v>126</v>
      </c>
      <c r="D78" s="68"/>
      <c r="E78" s="67"/>
      <c r="F78" s="42">
        <f>365797*12</f>
        <v>4389564</v>
      </c>
      <c r="G78" s="42">
        <v>0</v>
      </c>
      <c r="H78" s="42">
        <f>3657.97*12</f>
        <v>43895.64</v>
      </c>
      <c r="I78" s="42">
        <v>0</v>
      </c>
      <c r="J78" s="42">
        <f t="shared" si="16"/>
        <v>4433459.64</v>
      </c>
      <c r="K78" s="69">
        <v>0</v>
      </c>
      <c r="L78" s="44">
        <f>365797*12</f>
        <v>4389564</v>
      </c>
      <c r="M78" s="44">
        <v>0</v>
      </c>
      <c r="N78" s="44">
        <f>3657.97*12</f>
        <v>43895.64</v>
      </c>
      <c r="O78" s="44">
        <v>0</v>
      </c>
      <c r="P78" s="44">
        <v>0</v>
      </c>
      <c r="Q78" s="43">
        <f aca="true" t="shared" si="17" ref="Q78:Q118">K78</f>
        <v>0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48" customFormat="1" ht="37.5" customHeight="1" hidden="1" thickBot="1" thickTop="1">
      <c r="A79" s="37" t="s">
        <v>127</v>
      </c>
      <c r="B79" s="36" t="s">
        <v>128</v>
      </c>
      <c r="C79" s="59" t="s">
        <v>129</v>
      </c>
      <c r="D79" s="68"/>
      <c r="E79" s="67"/>
      <c r="F79" s="70"/>
      <c r="G79" s="42"/>
      <c r="H79" s="42"/>
      <c r="I79" s="42">
        <v>128671</v>
      </c>
      <c r="J79" s="42">
        <f>SUM(G79:I79)</f>
        <v>128671</v>
      </c>
      <c r="K79" s="43">
        <v>0</v>
      </c>
      <c r="L79" s="71"/>
      <c r="M79" s="71"/>
      <c r="N79" s="71"/>
      <c r="O79" s="71">
        <f>J79</f>
        <v>128671</v>
      </c>
      <c r="P79" s="72"/>
      <c r="Q79" s="73">
        <f t="shared" si="17"/>
        <v>0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48" customFormat="1" ht="37.5" customHeight="1" hidden="1" thickBot="1" thickTop="1">
      <c r="A80" s="37" t="s">
        <v>127</v>
      </c>
      <c r="B80" s="36" t="s">
        <v>130</v>
      </c>
      <c r="C80" s="59" t="s">
        <v>129</v>
      </c>
      <c r="D80" s="68"/>
      <c r="E80" s="67"/>
      <c r="F80" s="70"/>
      <c r="G80" s="42"/>
      <c r="H80" s="42"/>
      <c r="I80" s="42">
        <v>215692</v>
      </c>
      <c r="J80" s="42">
        <f>SUM(G80:I80)</f>
        <v>215692</v>
      </c>
      <c r="K80" s="43">
        <v>0</v>
      </c>
      <c r="L80" s="71"/>
      <c r="M80" s="71"/>
      <c r="N80" s="71"/>
      <c r="O80" s="71">
        <f>J80</f>
        <v>215692</v>
      </c>
      <c r="P80" s="72"/>
      <c r="Q80" s="73">
        <f t="shared" si="17"/>
        <v>0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48" customFormat="1" ht="37.5" customHeight="1" hidden="1" thickBot="1" thickTop="1">
      <c r="A81" s="37">
        <v>1182</v>
      </c>
      <c r="B81" s="36" t="s">
        <v>55</v>
      </c>
      <c r="C81" s="39" t="s">
        <v>131</v>
      </c>
      <c r="D81" s="74">
        <v>39813</v>
      </c>
      <c r="E81" s="67"/>
      <c r="F81" s="42">
        <f>(1440.25*12)*'[1]CPI rates &amp; misc'!B8</f>
        <v>18147.15</v>
      </c>
      <c r="G81" s="42">
        <v>0</v>
      </c>
      <c r="H81" s="42">
        <v>0</v>
      </c>
      <c r="I81" s="42">
        <v>0</v>
      </c>
      <c r="J81" s="42">
        <f t="shared" si="16"/>
        <v>18147.15</v>
      </c>
      <c r="K81" s="43">
        <f>$K$5*F81</f>
        <v>309.4089075</v>
      </c>
      <c r="L81" s="71">
        <f aca="true" t="shared" si="18" ref="L81:L93">F81</f>
        <v>18147.15</v>
      </c>
      <c r="M81" s="71">
        <f aca="true" t="shared" si="19" ref="M81:O91">G81</f>
        <v>0</v>
      </c>
      <c r="N81" s="71">
        <f t="shared" si="19"/>
        <v>0</v>
      </c>
      <c r="O81" s="71">
        <f t="shared" si="19"/>
        <v>0</v>
      </c>
      <c r="P81" s="72">
        <v>0</v>
      </c>
      <c r="Q81" s="73">
        <f t="shared" si="17"/>
        <v>309.4089075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48" customFormat="1" ht="37.5" customHeight="1" hidden="1" thickBot="1" thickTop="1">
      <c r="A82" s="37">
        <v>1637</v>
      </c>
      <c r="B82" s="36" t="s">
        <v>73</v>
      </c>
      <c r="C82" s="39" t="s">
        <v>132</v>
      </c>
      <c r="D82" s="74">
        <v>39599</v>
      </c>
      <c r="E82" s="67">
        <v>1296</v>
      </c>
      <c r="F82" s="42">
        <f>(1750*12)</f>
        <v>21000</v>
      </c>
      <c r="G82" s="42">
        <f>(150+163+61)*12</f>
        <v>4488</v>
      </c>
      <c r="H82" s="42"/>
      <c r="I82" s="42"/>
      <c r="J82" s="42">
        <f t="shared" si="16"/>
        <v>25488</v>
      </c>
      <c r="K82" s="43">
        <f>$K$5*F82</f>
        <v>358.04999999999995</v>
      </c>
      <c r="L82" s="71">
        <f t="shared" si="18"/>
        <v>21000</v>
      </c>
      <c r="M82" s="71">
        <f t="shared" si="19"/>
        <v>4488</v>
      </c>
      <c r="N82" s="71">
        <f t="shared" si="19"/>
        <v>0</v>
      </c>
      <c r="O82" s="71">
        <f t="shared" si="19"/>
        <v>0</v>
      </c>
      <c r="P82" s="72">
        <v>0</v>
      </c>
      <c r="Q82" s="73">
        <f t="shared" si="17"/>
        <v>358.04999999999995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48" customFormat="1" ht="37.5" customHeight="1" hidden="1" thickBot="1" thickTop="1">
      <c r="A83" s="56">
        <v>1773</v>
      </c>
      <c r="B83" s="65" t="s">
        <v>196</v>
      </c>
      <c r="C83" s="66" t="s">
        <v>133</v>
      </c>
      <c r="D83" s="74">
        <v>39691</v>
      </c>
      <c r="E83" s="67">
        <v>3360</v>
      </c>
      <c r="F83" s="42">
        <v>0</v>
      </c>
      <c r="G83" s="42">
        <v>0</v>
      </c>
      <c r="H83" s="42">
        <v>0</v>
      </c>
      <c r="I83" s="42">
        <v>0</v>
      </c>
      <c r="J83" s="42">
        <f t="shared" si="16"/>
        <v>0</v>
      </c>
      <c r="K83" s="43">
        <f>$K$5*F83</f>
        <v>0</v>
      </c>
      <c r="L83" s="71">
        <f t="shared" si="18"/>
        <v>0</v>
      </c>
      <c r="M83" s="71">
        <f t="shared" si="19"/>
        <v>0</v>
      </c>
      <c r="N83" s="71">
        <f t="shared" si="19"/>
        <v>0</v>
      </c>
      <c r="O83" s="71">
        <f t="shared" si="19"/>
        <v>0</v>
      </c>
      <c r="P83" s="72">
        <v>0</v>
      </c>
      <c r="Q83" s="73">
        <f t="shared" si="17"/>
        <v>0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48" customFormat="1" ht="37.5" customHeight="1" hidden="1" thickBot="1" thickTop="1">
      <c r="A84" s="37">
        <v>1829</v>
      </c>
      <c r="B84" s="36" t="s">
        <v>73</v>
      </c>
      <c r="C84" s="39" t="s">
        <v>134</v>
      </c>
      <c r="D84" s="74">
        <v>39660</v>
      </c>
      <c r="E84" s="67">
        <v>1000</v>
      </c>
      <c r="F84" s="42">
        <f>1092*7+(1167*5)</f>
        <v>13479</v>
      </c>
      <c r="G84" s="42">
        <v>0</v>
      </c>
      <c r="H84" s="42">
        <v>0</v>
      </c>
      <c r="I84" s="42">
        <v>0</v>
      </c>
      <c r="J84" s="42">
        <f t="shared" si="16"/>
        <v>13479</v>
      </c>
      <c r="K84" s="43">
        <f>$K$5*F84</f>
        <v>229.81695</v>
      </c>
      <c r="L84" s="71">
        <f t="shared" si="18"/>
        <v>13479</v>
      </c>
      <c r="M84" s="71">
        <f t="shared" si="19"/>
        <v>0</v>
      </c>
      <c r="N84" s="71">
        <f t="shared" si="19"/>
        <v>0</v>
      </c>
      <c r="O84" s="71">
        <f t="shared" si="19"/>
        <v>0</v>
      </c>
      <c r="P84" s="72">
        <v>0</v>
      </c>
      <c r="Q84" s="73">
        <f t="shared" si="17"/>
        <v>229.81695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84" customFormat="1" ht="37.5" customHeight="1" hidden="1" thickBot="1" thickTop="1">
      <c r="A85" s="75">
        <v>1864</v>
      </c>
      <c r="B85" s="76" t="s">
        <v>135</v>
      </c>
      <c r="C85" s="77" t="s">
        <v>136</v>
      </c>
      <c r="D85" s="78">
        <v>41060</v>
      </c>
      <c r="E85" s="79">
        <v>9777</v>
      </c>
      <c r="F85" s="80">
        <f>(12292.42*5)+(12653.96*7)</f>
        <v>150039.82</v>
      </c>
      <c r="G85" s="80">
        <f>(722*12)*1.1</f>
        <v>9530.400000000001</v>
      </c>
      <c r="H85" s="80">
        <v>0</v>
      </c>
      <c r="I85" s="80">
        <v>0</v>
      </c>
      <c r="J85" s="80">
        <f t="shared" si="16"/>
        <v>159570.22</v>
      </c>
      <c r="K85" s="43">
        <f aca="true" t="shared" si="20" ref="K85:K118">$K$5*F85</f>
        <v>2558.178931</v>
      </c>
      <c r="L85" s="71">
        <f t="shared" si="18"/>
        <v>150039.82</v>
      </c>
      <c r="M85" s="81">
        <f t="shared" si="19"/>
        <v>9530.400000000001</v>
      </c>
      <c r="N85" s="81">
        <f t="shared" si="19"/>
        <v>0</v>
      </c>
      <c r="O85" s="81">
        <f t="shared" si="19"/>
        <v>0</v>
      </c>
      <c r="P85" s="82">
        <v>0</v>
      </c>
      <c r="Q85" s="83">
        <f t="shared" si="17"/>
        <v>2558.178931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84" customFormat="1" ht="37.5" customHeight="1" hidden="1" thickBot="1" thickTop="1">
      <c r="A86" s="75">
        <v>1865</v>
      </c>
      <c r="B86" s="76" t="s">
        <v>137</v>
      </c>
      <c r="C86" s="77" t="s">
        <v>138</v>
      </c>
      <c r="D86" s="78" t="s">
        <v>1</v>
      </c>
      <c r="E86" s="79">
        <f>7492+3982</f>
        <v>11474</v>
      </c>
      <c r="F86" s="80">
        <f>34735*12</f>
        <v>416820</v>
      </c>
      <c r="G86" s="80">
        <f>32365*12</f>
        <v>388380</v>
      </c>
      <c r="H86" s="80">
        <f>5000*12</f>
        <v>60000</v>
      </c>
      <c r="I86" s="80">
        <v>0</v>
      </c>
      <c r="J86" s="80">
        <f t="shared" si="16"/>
        <v>865200</v>
      </c>
      <c r="K86" s="43">
        <f t="shared" si="20"/>
        <v>7106.781</v>
      </c>
      <c r="L86" s="71">
        <f t="shared" si="18"/>
        <v>416820</v>
      </c>
      <c r="M86" s="81">
        <f t="shared" si="19"/>
        <v>388380</v>
      </c>
      <c r="N86" s="81">
        <f t="shared" si="19"/>
        <v>60000</v>
      </c>
      <c r="O86" s="81">
        <f t="shared" si="19"/>
        <v>0</v>
      </c>
      <c r="P86" s="82">
        <v>0</v>
      </c>
      <c r="Q86" s="83">
        <f t="shared" si="17"/>
        <v>7106.781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84" customFormat="1" ht="37.5" customHeight="1" hidden="1" thickBot="1" thickTop="1">
      <c r="A87" s="75">
        <v>1862</v>
      </c>
      <c r="B87" s="76" t="s">
        <v>139</v>
      </c>
      <c r="C87" s="77" t="s">
        <v>140</v>
      </c>
      <c r="D87" s="78">
        <v>42886</v>
      </c>
      <c r="E87" s="79">
        <v>33148</v>
      </c>
      <c r="F87" s="80">
        <f>49722*12</f>
        <v>596664</v>
      </c>
      <c r="G87" s="80">
        <f>E87*0.5</f>
        <v>16574</v>
      </c>
      <c r="H87" s="80">
        <v>0</v>
      </c>
      <c r="I87" s="80">
        <v>0</v>
      </c>
      <c r="J87" s="80">
        <f t="shared" si="16"/>
        <v>613238</v>
      </c>
      <c r="K87" s="43">
        <f t="shared" si="20"/>
        <v>10173.1212</v>
      </c>
      <c r="L87" s="81">
        <f t="shared" si="18"/>
        <v>596664</v>
      </c>
      <c r="M87" s="81">
        <f t="shared" si="19"/>
        <v>16574</v>
      </c>
      <c r="N87" s="81">
        <f t="shared" si="19"/>
        <v>0</v>
      </c>
      <c r="O87" s="81">
        <f t="shared" si="19"/>
        <v>0</v>
      </c>
      <c r="P87" s="82">
        <v>0</v>
      </c>
      <c r="Q87" s="83">
        <f t="shared" si="17"/>
        <v>10173.1212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84" customFormat="1" ht="37.5" customHeight="1" hidden="1" thickBot="1" thickTop="1">
      <c r="A88" s="85">
        <v>1860</v>
      </c>
      <c r="B88" s="86" t="s">
        <v>197</v>
      </c>
      <c r="C88" s="87" t="s">
        <v>141</v>
      </c>
      <c r="D88" s="78">
        <v>43069</v>
      </c>
      <c r="E88" s="79">
        <v>93044</v>
      </c>
      <c r="F88" s="80">
        <v>0</v>
      </c>
      <c r="G88" s="80">
        <v>0</v>
      </c>
      <c r="H88" s="80">
        <v>0</v>
      </c>
      <c r="I88" s="80"/>
      <c r="J88" s="80">
        <f t="shared" si="16"/>
        <v>0</v>
      </c>
      <c r="K88" s="43">
        <f t="shared" si="20"/>
        <v>0</v>
      </c>
      <c r="L88" s="81">
        <f t="shared" si="18"/>
        <v>0</v>
      </c>
      <c r="M88" s="81">
        <f t="shared" si="19"/>
        <v>0</v>
      </c>
      <c r="N88" s="81">
        <f t="shared" si="19"/>
        <v>0</v>
      </c>
      <c r="O88" s="81">
        <f t="shared" si="19"/>
        <v>0</v>
      </c>
      <c r="P88" s="82">
        <v>0</v>
      </c>
      <c r="Q88" s="83">
        <f t="shared" si="17"/>
        <v>0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84" customFormat="1" ht="37.5" customHeight="1" hidden="1" thickBot="1" thickTop="1">
      <c r="A89" s="75">
        <v>1855</v>
      </c>
      <c r="B89" s="76" t="s">
        <v>86</v>
      </c>
      <c r="C89" s="77" t="s">
        <v>142</v>
      </c>
      <c r="D89" s="78">
        <v>42886</v>
      </c>
      <c r="E89" s="79">
        <v>4300</v>
      </c>
      <c r="F89" s="80">
        <f>(5643*5)+(5811.26*7)</f>
        <v>68893.82</v>
      </c>
      <c r="G89" s="80">
        <f>(1074*12)*'[1]CPI rates &amp; misc'!B8</f>
        <v>13532.400000000001</v>
      </c>
      <c r="H89" s="80">
        <v>0</v>
      </c>
      <c r="I89" s="80">
        <v>0</v>
      </c>
      <c r="J89" s="80">
        <f t="shared" si="16"/>
        <v>82426.22</v>
      </c>
      <c r="K89" s="43">
        <f t="shared" si="20"/>
        <v>1174.639631</v>
      </c>
      <c r="L89" s="81">
        <f t="shared" si="18"/>
        <v>68893.82</v>
      </c>
      <c r="M89" s="81">
        <f t="shared" si="19"/>
        <v>13532.400000000001</v>
      </c>
      <c r="N89" s="81">
        <f t="shared" si="19"/>
        <v>0</v>
      </c>
      <c r="O89" s="81">
        <f t="shared" si="19"/>
        <v>0</v>
      </c>
      <c r="P89" s="82">
        <v>0</v>
      </c>
      <c r="Q89" s="83">
        <f t="shared" si="17"/>
        <v>1174.639631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84" customFormat="1" ht="37.5" customHeight="1" hidden="1" thickBot="1" thickTop="1">
      <c r="A90" s="75">
        <v>1844</v>
      </c>
      <c r="B90" s="76" t="s">
        <v>143</v>
      </c>
      <c r="C90" s="77" t="s">
        <v>144</v>
      </c>
      <c r="D90" s="78">
        <v>40056</v>
      </c>
      <c r="E90" s="79">
        <v>4251</v>
      </c>
      <c r="F90" s="80">
        <f>((E90*20.2)*8/12)+((E90*25)*4/12)</f>
        <v>92671.79999999999</v>
      </c>
      <c r="G90" s="80">
        <f>300*12</f>
        <v>3600</v>
      </c>
      <c r="H90" s="80">
        <v>0</v>
      </c>
      <c r="I90" s="80">
        <v>0</v>
      </c>
      <c r="J90" s="80">
        <f t="shared" si="16"/>
        <v>96271.79999999999</v>
      </c>
      <c r="K90" s="43">
        <f t="shared" si="20"/>
        <v>1580.0541899999998</v>
      </c>
      <c r="L90" s="81">
        <f t="shared" si="18"/>
        <v>92671.79999999999</v>
      </c>
      <c r="M90" s="81">
        <f t="shared" si="19"/>
        <v>3600</v>
      </c>
      <c r="N90" s="81">
        <f t="shared" si="19"/>
        <v>0</v>
      </c>
      <c r="O90" s="81">
        <f t="shared" si="19"/>
        <v>0</v>
      </c>
      <c r="P90" s="82">
        <v>0</v>
      </c>
      <c r="Q90" s="83">
        <f t="shared" si="17"/>
        <v>1580.0541899999998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84" customFormat="1" ht="37.5" customHeight="1" hidden="1" thickBot="1" thickTop="1">
      <c r="A91" s="75">
        <v>1185</v>
      </c>
      <c r="B91" s="76" t="s">
        <v>86</v>
      </c>
      <c r="C91" s="77" t="s">
        <v>145</v>
      </c>
      <c r="D91" s="78">
        <v>40694</v>
      </c>
      <c r="E91" s="79">
        <v>19666</v>
      </c>
      <c r="F91" s="80">
        <f>(5*'[1]CPI rates &amp; misc'!B43)+(7*'[1]CPI rates &amp; misc'!B44)</f>
        <v>154601.026</v>
      </c>
      <c r="G91" s="80">
        <v>0</v>
      </c>
      <c r="H91" s="80">
        <v>0</v>
      </c>
      <c r="I91" s="80">
        <v>0</v>
      </c>
      <c r="J91" s="80">
        <f t="shared" si="16"/>
        <v>154601.026</v>
      </c>
      <c r="K91" s="43">
        <f t="shared" si="20"/>
        <v>2635.9474933</v>
      </c>
      <c r="L91" s="81">
        <f t="shared" si="18"/>
        <v>154601.026</v>
      </c>
      <c r="M91" s="81">
        <f t="shared" si="19"/>
        <v>0</v>
      </c>
      <c r="N91" s="81">
        <f t="shared" si="19"/>
        <v>0</v>
      </c>
      <c r="O91" s="81">
        <f t="shared" si="19"/>
        <v>0</v>
      </c>
      <c r="P91" s="82">
        <v>0</v>
      </c>
      <c r="Q91" s="83">
        <f t="shared" si="17"/>
        <v>2635.9474933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88" customFormat="1" ht="37.5" customHeight="1" hidden="1" thickBot="1" thickTop="1">
      <c r="A92" s="75">
        <v>1882</v>
      </c>
      <c r="B92" s="76" t="s">
        <v>86</v>
      </c>
      <c r="C92" s="77" t="s">
        <v>146</v>
      </c>
      <c r="D92" s="78">
        <v>43311</v>
      </c>
      <c r="E92" s="79">
        <v>8500</v>
      </c>
      <c r="F92" s="80">
        <f>17000*12</f>
        <v>204000</v>
      </c>
      <c r="G92" s="80">
        <f>38580.32*1.05</f>
        <v>40509.336</v>
      </c>
      <c r="H92" s="80"/>
      <c r="I92" s="80"/>
      <c r="J92" s="80">
        <f t="shared" si="16"/>
        <v>244509.336</v>
      </c>
      <c r="K92" s="43">
        <f t="shared" si="20"/>
        <v>3478.2</v>
      </c>
      <c r="L92" s="81">
        <f t="shared" si="18"/>
        <v>204000</v>
      </c>
      <c r="M92" s="81">
        <f aca="true" t="shared" si="21" ref="M92:O97">G92</f>
        <v>40509.336</v>
      </c>
      <c r="N92" s="81">
        <f t="shared" si="21"/>
        <v>0</v>
      </c>
      <c r="O92" s="81">
        <f t="shared" si="21"/>
        <v>0</v>
      </c>
      <c r="P92" s="82">
        <v>0</v>
      </c>
      <c r="Q92" s="83">
        <f t="shared" si="17"/>
        <v>3478.2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88" customFormat="1" ht="37.5" customHeight="1" hidden="1" thickBot="1" thickTop="1">
      <c r="A93" s="75">
        <v>1846</v>
      </c>
      <c r="B93" s="76" t="s">
        <v>137</v>
      </c>
      <c r="C93" s="77" t="s">
        <v>147</v>
      </c>
      <c r="D93" s="78">
        <v>39721</v>
      </c>
      <c r="E93" s="79">
        <v>300</v>
      </c>
      <c r="F93" s="80">
        <f>((3*600)+400)*1.18</f>
        <v>2596</v>
      </c>
      <c r="G93" s="80"/>
      <c r="H93" s="80"/>
      <c r="I93" s="80"/>
      <c r="J93" s="80">
        <f t="shared" si="16"/>
        <v>2596</v>
      </c>
      <c r="K93" s="43">
        <f t="shared" si="20"/>
        <v>44.2618</v>
      </c>
      <c r="L93" s="81">
        <f t="shared" si="18"/>
        <v>2596</v>
      </c>
      <c r="M93" s="81">
        <f t="shared" si="21"/>
        <v>0</v>
      </c>
      <c r="N93" s="81">
        <f t="shared" si="21"/>
        <v>0</v>
      </c>
      <c r="O93" s="81">
        <f t="shared" si="21"/>
        <v>0</v>
      </c>
      <c r="P93" s="82">
        <v>0</v>
      </c>
      <c r="Q93" s="83">
        <f t="shared" si="17"/>
        <v>44.2618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90" customFormat="1" ht="37.5" customHeight="1" hidden="1" thickBot="1" thickTop="1">
      <c r="A94" s="75" t="s">
        <v>148</v>
      </c>
      <c r="B94" s="76" t="s">
        <v>149</v>
      </c>
      <c r="C94" s="77" t="s">
        <v>150</v>
      </c>
      <c r="D94" s="78"/>
      <c r="E94" s="89">
        <f>'[1]NCOB'!S45</f>
        <v>1191.95</v>
      </c>
      <c r="F94" s="80">
        <f>'[1]NCOB'!S47</f>
        <v>24732.9625</v>
      </c>
      <c r="G94" s="80"/>
      <c r="H94" s="80"/>
      <c r="I94" s="80"/>
      <c r="J94" s="80">
        <f t="shared" si="16"/>
        <v>24732.9625</v>
      </c>
      <c r="K94" s="43">
        <f t="shared" si="20"/>
        <v>421.697010625</v>
      </c>
      <c r="L94" s="81"/>
      <c r="M94" s="81">
        <f t="shared" si="21"/>
        <v>0</v>
      </c>
      <c r="N94" s="81">
        <f t="shared" si="21"/>
        <v>0</v>
      </c>
      <c r="O94" s="81">
        <f t="shared" si="21"/>
        <v>0</v>
      </c>
      <c r="P94" s="82">
        <v>0</v>
      </c>
      <c r="Q94" s="83">
        <f t="shared" si="17"/>
        <v>421.697010625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90" customFormat="1" ht="37.5" customHeight="1" hidden="1" thickBot="1" thickTop="1">
      <c r="A95" s="75" t="s">
        <v>148</v>
      </c>
      <c r="B95" s="76" t="s">
        <v>151</v>
      </c>
      <c r="C95" s="77" t="s">
        <v>150</v>
      </c>
      <c r="D95" s="91" t="s">
        <v>32</v>
      </c>
      <c r="E95" s="89">
        <f>'[1]NCOB'!J45</f>
        <v>452.7166666666667</v>
      </c>
      <c r="F95" s="80">
        <f>'[1]NCOB'!J47</f>
        <v>9393.870833333334</v>
      </c>
      <c r="G95" s="80"/>
      <c r="H95" s="80"/>
      <c r="I95" s="80"/>
      <c r="J95" s="80">
        <f t="shared" si="16"/>
        <v>9393.870833333334</v>
      </c>
      <c r="K95" s="43">
        <f t="shared" si="20"/>
        <v>160.16549770833333</v>
      </c>
      <c r="L95" s="81"/>
      <c r="M95" s="81">
        <f t="shared" si="21"/>
        <v>0</v>
      </c>
      <c r="N95" s="81">
        <f t="shared" si="21"/>
        <v>0</v>
      </c>
      <c r="O95" s="81">
        <f t="shared" si="21"/>
        <v>0</v>
      </c>
      <c r="P95" s="82">
        <v>0</v>
      </c>
      <c r="Q95" s="83">
        <f t="shared" si="17"/>
        <v>160.16549770833333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90" customFormat="1" ht="37.5" customHeight="1" hidden="1" thickBot="1" thickTop="1">
      <c r="A96" s="75" t="s">
        <v>148</v>
      </c>
      <c r="B96" s="76" t="s">
        <v>152</v>
      </c>
      <c r="C96" s="77" t="s">
        <v>150</v>
      </c>
      <c r="D96" s="91" t="s">
        <v>32</v>
      </c>
      <c r="E96" s="89">
        <f>'[1]NCOB'!Q45</f>
        <v>592.7166666666667</v>
      </c>
      <c r="F96" s="80">
        <f>'[1]NCOB'!Q47</f>
        <v>12298.870833333334</v>
      </c>
      <c r="G96" s="80"/>
      <c r="H96" s="80"/>
      <c r="I96" s="80"/>
      <c r="J96" s="80">
        <f t="shared" si="16"/>
        <v>12298.870833333334</v>
      </c>
      <c r="K96" s="43">
        <f t="shared" si="20"/>
        <v>209.69574770833333</v>
      </c>
      <c r="L96" s="81"/>
      <c r="M96" s="81">
        <f t="shared" si="21"/>
        <v>0</v>
      </c>
      <c r="N96" s="81">
        <f t="shared" si="21"/>
        <v>0</v>
      </c>
      <c r="O96" s="81">
        <f t="shared" si="21"/>
        <v>0</v>
      </c>
      <c r="P96" s="82">
        <v>0</v>
      </c>
      <c r="Q96" s="83">
        <f t="shared" si="17"/>
        <v>209.69574770833333</v>
      </c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90" customFormat="1" ht="37.5" customHeight="1" hidden="1" thickBot="1" thickTop="1">
      <c r="A97" s="75" t="s">
        <v>148</v>
      </c>
      <c r="B97" s="76" t="s">
        <v>153</v>
      </c>
      <c r="C97" s="77" t="s">
        <v>150</v>
      </c>
      <c r="D97" s="91" t="s">
        <v>32</v>
      </c>
      <c r="E97" s="89">
        <f>'[1]NCOB'!L45</f>
        <v>791.6166666666667</v>
      </c>
      <c r="F97" s="80">
        <f>'[1]NCOB'!L47</f>
        <v>16426.045833333334</v>
      </c>
      <c r="G97" s="80"/>
      <c r="H97" s="80"/>
      <c r="I97" s="80"/>
      <c r="J97" s="80">
        <f t="shared" si="16"/>
        <v>16426.045833333334</v>
      </c>
      <c r="K97" s="43">
        <f t="shared" si="20"/>
        <v>280.0640814583333</v>
      </c>
      <c r="L97" s="81"/>
      <c r="M97" s="81">
        <f t="shared" si="21"/>
        <v>0</v>
      </c>
      <c r="N97" s="81">
        <f t="shared" si="21"/>
        <v>0</v>
      </c>
      <c r="O97" s="81">
        <f t="shared" si="21"/>
        <v>0</v>
      </c>
      <c r="P97" s="82">
        <v>0</v>
      </c>
      <c r="Q97" s="83">
        <f t="shared" si="17"/>
        <v>280.0640814583333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90" customFormat="1" ht="37.5" customHeight="1" hidden="1" thickBot="1" thickTop="1">
      <c r="A98" s="75" t="s">
        <v>148</v>
      </c>
      <c r="B98" s="76" t="s">
        <v>154</v>
      </c>
      <c r="C98" s="77" t="s">
        <v>155</v>
      </c>
      <c r="D98" s="91" t="s">
        <v>32</v>
      </c>
      <c r="E98" s="89">
        <f>'[1]NCOB'!O45</f>
        <v>2346</v>
      </c>
      <c r="F98" s="80">
        <f>'[1]NCOB'!O47</f>
        <v>48679.5</v>
      </c>
      <c r="G98" s="80"/>
      <c r="H98" s="80"/>
      <c r="I98" s="80"/>
      <c r="J98" s="80">
        <f t="shared" si="16"/>
        <v>48679.5</v>
      </c>
      <c r="K98" s="43">
        <f t="shared" si="20"/>
        <v>829.985475</v>
      </c>
      <c r="L98" s="81"/>
      <c r="M98" s="81">
        <f aca="true" t="shared" si="22" ref="M98:O118">G98</f>
        <v>0</v>
      </c>
      <c r="N98" s="81">
        <f t="shared" si="22"/>
        <v>0</v>
      </c>
      <c r="O98" s="81">
        <f t="shared" si="22"/>
        <v>0</v>
      </c>
      <c r="P98" s="82">
        <v>0</v>
      </c>
      <c r="Q98" s="83">
        <f t="shared" si="17"/>
        <v>829.985475</v>
      </c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90" customFormat="1" ht="37.5" customHeight="1" hidden="1" thickBot="1" thickTop="1">
      <c r="A99" s="75" t="s">
        <v>148</v>
      </c>
      <c r="B99" s="76" t="s">
        <v>156</v>
      </c>
      <c r="C99" s="77" t="s">
        <v>157</v>
      </c>
      <c r="D99" s="91" t="s">
        <v>32</v>
      </c>
      <c r="E99" s="89">
        <f>'[1]NCOB'!W45</f>
        <v>204.6</v>
      </c>
      <c r="F99" s="80">
        <f>'[1]NCOB'!W47</f>
        <v>4296.599999999999</v>
      </c>
      <c r="G99" s="80"/>
      <c r="H99" s="80"/>
      <c r="I99" s="80"/>
      <c r="J99" s="80">
        <f t="shared" si="16"/>
        <v>4296.599999999999</v>
      </c>
      <c r="K99" s="43">
        <f t="shared" si="20"/>
        <v>73.25702999999999</v>
      </c>
      <c r="L99" s="81"/>
      <c r="M99" s="81">
        <f t="shared" si="22"/>
        <v>0</v>
      </c>
      <c r="N99" s="81">
        <f t="shared" si="22"/>
        <v>0</v>
      </c>
      <c r="O99" s="81">
        <f t="shared" si="22"/>
        <v>0</v>
      </c>
      <c r="P99" s="82">
        <v>0</v>
      </c>
      <c r="Q99" s="83">
        <f t="shared" si="17"/>
        <v>73.25702999999999</v>
      </c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90" customFormat="1" ht="37.5" customHeight="1" hidden="1" thickBot="1" thickTop="1">
      <c r="A100" s="75" t="s">
        <v>148</v>
      </c>
      <c r="B100" s="76" t="s">
        <v>158</v>
      </c>
      <c r="C100" s="77" t="s">
        <v>159</v>
      </c>
      <c r="D100" s="91" t="s">
        <v>32</v>
      </c>
      <c r="E100" s="89">
        <f>'[1]NCOB'!U45</f>
        <v>4588.5</v>
      </c>
      <c r="F100" s="80">
        <f>'[1]NCOB'!U47</f>
        <v>96358.5</v>
      </c>
      <c r="G100" s="80"/>
      <c r="H100" s="80"/>
      <c r="I100" s="80"/>
      <c r="J100" s="80">
        <f t="shared" si="16"/>
        <v>96358.5</v>
      </c>
      <c r="K100" s="43">
        <f t="shared" si="20"/>
        <v>1642.912425</v>
      </c>
      <c r="L100" s="81"/>
      <c r="M100" s="81">
        <f t="shared" si="22"/>
        <v>0</v>
      </c>
      <c r="N100" s="81">
        <f t="shared" si="22"/>
        <v>0</v>
      </c>
      <c r="O100" s="81">
        <f t="shared" si="22"/>
        <v>0</v>
      </c>
      <c r="P100" s="82">
        <v>0</v>
      </c>
      <c r="Q100" s="83">
        <f t="shared" si="17"/>
        <v>1642.912425</v>
      </c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90" customFormat="1" ht="37.5" customHeight="1" hidden="1" thickBot="1" thickTop="1">
      <c r="A101" s="75" t="s">
        <v>148</v>
      </c>
      <c r="B101" s="76" t="s">
        <v>160</v>
      </c>
      <c r="C101" s="77" t="s">
        <v>159</v>
      </c>
      <c r="D101" s="91" t="s">
        <v>32</v>
      </c>
      <c r="E101" s="89">
        <f>'[1]NCOB'!T45</f>
        <v>791.2</v>
      </c>
      <c r="F101" s="80">
        <f>'[1]NCOB'!T47</f>
        <v>16615.2</v>
      </c>
      <c r="G101" s="80"/>
      <c r="H101" s="80"/>
      <c r="I101" s="80"/>
      <c r="J101" s="80">
        <f t="shared" si="16"/>
        <v>16615.2</v>
      </c>
      <c r="K101" s="43">
        <f t="shared" si="20"/>
        <v>283.28916</v>
      </c>
      <c r="L101" s="81"/>
      <c r="M101" s="81">
        <f t="shared" si="22"/>
        <v>0</v>
      </c>
      <c r="N101" s="81">
        <f t="shared" si="22"/>
        <v>0</v>
      </c>
      <c r="O101" s="81">
        <f t="shared" si="22"/>
        <v>0</v>
      </c>
      <c r="P101" s="82">
        <v>0</v>
      </c>
      <c r="Q101" s="83">
        <f t="shared" si="17"/>
        <v>283.28916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90" customFormat="1" ht="37.5" customHeight="1" hidden="1" thickBot="1" thickTop="1">
      <c r="A102" s="75" t="s">
        <v>148</v>
      </c>
      <c r="B102" s="76" t="s">
        <v>161</v>
      </c>
      <c r="C102" s="77" t="s">
        <v>159</v>
      </c>
      <c r="D102" s="91" t="s">
        <v>32</v>
      </c>
      <c r="E102" s="89">
        <f>'[1]NCOB'!M45</f>
        <v>1823.1</v>
      </c>
      <c r="F102" s="80">
        <f>'[1]NCOB'!M47</f>
        <v>38285.1</v>
      </c>
      <c r="G102" s="80"/>
      <c r="H102" s="80"/>
      <c r="I102" s="80"/>
      <c r="J102" s="80">
        <f t="shared" si="16"/>
        <v>38285.1</v>
      </c>
      <c r="K102" s="43">
        <f t="shared" si="20"/>
        <v>652.760955</v>
      </c>
      <c r="L102" s="81"/>
      <c r="M102" s="81">
        <f t="shared" si="22"/>
        <v>0</v>
      </c>
      <c r="N102" s="81">
        <f t="shared" si="22"/>
        <v>0</v>
      </c>
      <c r="O102" s="81">
        <f t="shared" si="22"/>
        <v>0</v>
      </c>
      <c r="P102" s="82">
        <v>0</v>
      </c>
      <c r="Q102" s="83">
        <f t="shared" si="17"/>
        <v>652.760955</v>
      </c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90" customFormat="1" ht="37.5" customHeight="1" hidden="1" thickBot="1" thickTop="1">
      <c r="A103" s="75" t="s">
        <v>148</v>
      </c>
      <c r="B103" s="76" t="s">
        <v>162</v>
      </c>
      <c r="C103" s="77" t="s">
        <v>163</v>
      </c>
      <c r="D103" s="91" t="s">
        <v>32</v>
      </c>
      <c r="E103" s="89">
        <f>'[1]NCOB'!G45</f>
        <v>6439.3</v>
      </c>
      <c r="F103" s="80">
        <f>'[1]NCOB'!G47</f>
        <v>135225.30000000002</v>
      </c>
      <c r="G103" s="80"/>
      <c r="H103" s="80"/>
      <c r="I103" s="80"/>
      <c r="J103" s="80">
        <f t="shared" si="16"/>
        <v>135225.30000000002</v>
      </c>
      <c r="K103" s="43">
        <f t="shared" si="20"/>
        <v>2305.591365</v>
      </c>
      <c r="L103" s="81"/>
      <c r="M103" s="81">
        <f t="shared" si="22"/>
        <v>0</v>
      </c>
      <c r="N103" s="81">
        <f t="shared" si="22"/>
        <v>0</v>
      </c>
      <c r="O103" s="81">
        <f t="shared" si="22"/>
        <v>0</v>
      </c>
      <c r="P103" s="82">
        <v>0</v>
      </c>
      <c r="Q103" s="83">
        <f t="shared" si="17"/>
        <v>2305.591365</v>
      </c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90" customFormat="1" ht="37.5" customHeight="1" hidden="1" thickBot="1" thickTop="1">
      <c r="A104" s="75" t="s">
        <v>148</v>
      </c>
      <c r="B104" s="76" t="s">
        <v>164</v>
      </c>
      <c r="C104" s="77" t="s">
        <v>163</v>
      </c>
      <c r="D104" s="91" t="s">
        <v>32</v>
      </c>
      <c r="E104" s="89">
        <f>'[1]NCOB'!H45</f>
        <v>11738.6</v>
      </c>
      <c r="F104" s="80">
        <f>'[1]NCOB'!H47</f>
        <v>246510.6</v>
      </c>
      <c r="G104" s="80"/>
      <c r="H104" s="80"/>
      <c r="I104" s="80"/>
      <c r="J104" s="80">
        <f t="shared" si="16"/>
        <v>246510.6</v>
      </c>
      <c r="K104" s="43">
        <f t="shared" si="20"/>
        <v>4203.00573</v>
      </c>
      <c r="L104" s="81"/>
      <c r="M104" s="81">
        <f t="shared" si="22"/>
        <v>0</v>
      </c>
      <c r="N104" s="81">
        <f t="shared" si="22"/>
        <v>0</v>
      </c>
      <c r="O104" s="81">
        <f t="shared" si="22"/>
        <v>0</v>
      </c>
      <c r="P104" s="82">
        <v>0</v>
      </c>
      <c r="Q104" s="83">
        <f t="shared" si="17"/>
        <v>4203.00573</v>
      </c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90" customFormat="1" ht="37.5" customHeight="1" hidden="1" thickBot="1" thickTop="1">
      <c r="A105" s="75" t="s">
        <v>148</v>
      </c>
      <c r="B105" s="76" t="s">
        <v>165</v>
      </c>
      <c r="C105" s="77" t="s">
        <v>166</v>
      </c>
      <c r="D105" s="91" t="s">
        <v>32</v>
      </c>
      <c r="E105" s="89">
        <f>'[1]NCOB'!I45</f>
        <v>22907.6</v>
      </c>
      <c r="F105" s="80">
        <f>'[1]NCOB'!I47</f>
        <v>481059.6</v>
      </c>
      <c r="G105" s="80"/>
      <c r="H105" s="80"/>
      <c r="I105" s="80"/>
      <c r="J105" s="80">
        <f t="shared" si="16"/>
        <v>481059.6</v>
      </c>
      <c r="K105" s="43">
        <f t="shared" si="20"/>
        <v>8202.06618</v>
      </c>
      <c r="L105" s="81"/>
      <c r="M105" s="81">
        <f t="shared" si="22"/>
        <v>0</v>
      </c>
      <c r="N105" s="81">
        <f t="shared" si="22"/>
        <v>0</v>
      </c>
      <c r="O105" s="81">
        <f t="shared" si="22"/>
        <v>0</v>
      </c>
      <c r="P105" s="82">
        <v>0</v>
      </c>
      <c r="Q105" s="83">
        <f t="shared" si="17"/>
        <v>8202.06618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90" customFormat="1" ht="37.5" customHeight="1" hidden="1" thickBot="1" thickTop="1">
      <c r="A106" s="75" t="s">
        <v>148</v>
      </c>
      <c r="B106" s="76" t="s">
        <v>167</v>
      </c>
      <c r="C106" s="77" t="s">
        <v>168</v>
      </c>
      <c r="D106" s="91" t="s">
        <v>32</v>
      </c>
      <c r="E106" s="89">
        <f>'[1]NCOB'!P29</f>
        <v>22955.9</v>
      </c>
      <c r="F106" s="80">
        <f>E106*'[1]NCOB'!C1</f>
        <v>482073.9</v>
      </c>
      <c r="G106" s="80"/>
      <c r="H106" s="80"/>
      <c r="I106" s="80"/>
      <c r="J106" s="80">
        <f t="shared" si="16"/>
        <v>482073.9</v>
      </c>
      <c r="K106" s="43">
        <f t="shared" si="20"/>
        <v>8219.359995</v>
      </c>
      <c r="L106" s="81"/>
      <c r="M106" s="81">
        <f t="shared" si="22"/>
        <v>0</v>
      </c>
      <c r="N106" s="81">
        <f t="shared" si="22"/>
        <v>0</v>
      </c>
      <c r="O106" s="81">
        <f t="shared" si="22"/>
        <v>0</v>
      </c>
      <c r="P106" s="82">
        <v>0</v>
      </c>
      <c r="Q106" s="83">
        <f t="shared" si="17"/>
        <v>8219.359995</v>
      </c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s="90" customFormat="1" ht="37.5" customHeight="1" hidden="1" thickBot="1" thickTop="1">
      <c r="A107" s="75" t="s">
        <v>148</v>
      </c>
      <c r="B107" s="76" t="s">
        <v>167</v>
      </c>
      <c r="C107" s="77" t="s">
        <v>169</v>
      </c>
      <c r="D107" s="91" t="s">
        <v>32</v>
      </c>
      <c r="E107" s="89">
        <f>'[1]NCOB'!P30</f>
        <v>22976</v>
      </c>
      <c r="F107" s="80">
        <f>E107*'[1]NCOB'!C1</f>
        <v>482496</v>
      </c>
      <c r="G107" s="80"/>
      <c r="H107" s="80"/>
      <c r="I107" s="80"/>
      <c r="J107" s="80">
        <f t="shared" si="16"/>
        <v>482496</v>
      </c>
      <c r="K107" s="43">
        <f t="shared" si="20"/>
        <v>8226.5568</v>
      </c>
      <c r="L107" s="81"/>
      <c r="M107" s="81">
        <f t="shared" si="22"/>
        <v>0</v>
      </c>
      <c r="N107" s="81">
        <f t="shared" si="22"/>
        <v>0</v>
      </c>
      <c r="O107" s="81">
        <f t="shared" si="22"/>
        <v>0</v>
      </c>
      <c r="P107" s="82">
        <v>0</v>
      </c>
      <c r="Q107" s="83">
        <f t="shared" si="17"/>
        <v>8226.5568</v>
      </c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s="90" customFormat="1" ht="37.5" customHeight="1" hidden="1" thickBot="1" thickTop="1">
      <c r="A108" s="75" t="s">
        <v>148</v>
      </c>
      <c r="B108" s="76" t="s">
        <v>137</v>
      </c>
      <c r="C108" s="77" t="s">
        <v>170</v>
      </c>
      <c r="D108" s="91" t="s">
        <v>32</v>
      </c>
      <c r="E108" s="89">
        <f>'[1]NCOB'!K31</f>
        <v>21095.8</v>
      </c>
      <c r="F108" s="80">
        <f>E108*'[1]NCOB'!C1</f>
        <v>443011.8</v>
      </c>
      <c r="G108" s="80"/>
      <c r="H108" s="80"/>
      <c r="I108" s="80"/>
      <c r="J108" s="80">
        <f t="shared" si="16"/>
        <v>443011.8</v>
      </c>
      <c r="K108" s="43">
        <f t="shared" si="20"/>
        <v>7553.351189999999</v>
      </c>
      <c r="L108" s="81"/>
      <c r="M108" s="81">
        <f t="shared" si="22"/>
        <v>0</v>
      </c>
      <c r="N108" s="81">
        <f t="shared" si="22"/>
        <v>0</v>
      </c>
      <c r="O108" s="81">
        <f t="shared" si="22"/>
        <v>0</v>
      </c>
      <c r="P108" s="82">
        <v>0</v>
      </c>
      <c r="Q108" s="83">
        <f t="shared" si="17"/>
        <v>7553.351189999999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90" customFormat="1" ht="37.5" customHeight="1" thickBot="1" thickTop="1">
      <c r="A109" s="92" t="s">
        <v>148</v>
      </c>
      <c r="B109" s="93" t="s">
        <v>137</v>
      </c>
      <c r="C109" s="94" t="s">
        <v>171</v>
      </c>
      <c r="D109" s="95" t="s">
        <v>32</v>
      </c>
      <c r="E109" s="96">
        <f>'[1]NCOB'!K33</f>
        <v>22888.7</v>
      </c>
      <c r="F109" s="80">
        <f>E109*'[1]NCOB'!C1</f>
        <v>480662.7</v>
      </c>
      <c r="G109" s="80"/>
      <c r="H109" s="80"/>
      <c r="I109" s="80"/>
      <c r="J109" s="80">
        <f t="shared" si="16"/>
        <v>480662.7</v>
      </c>
      <c r="K109" s="43">
        <f t="shared" si="20"/>
        <v>8195.299035</v>
      </c>
      <c r="L109" s="81"/>
      <c r="M109" s="81">
        <f t="shared" si="22"/>
        <v>0</v>
      </c>
      <c r="N109" s="81">
        <f t="shared" si="22"/>
        <v>0</v>
      </c>
      <c r="O109" s="81">
        <f t="shared" si="22"/>
        <v>0</v>
      </c>
      <c r="P109" s="82">
        <v>0</v>
      </c>
      <c r="Q109" s="83">
        <f t="shared" si="17"/>
        <v>8195.299035</v>
      </c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90" customFormat="1" ht="37.5" customHeight="1" thickBot="1" thickTop="1">
      <c r="A110" s="92" t="s">
        <v>148</v>
      </c>
      <c r="B110" s="93" t="s">
        <v>172</v>
      </c>
      <c r="C110" s="94" t="s">
        <v>170</v>
      </c>
      <c r="D110" s="95" t="s">
        <v>32</v>
      </c>
      <c r="E110" s="96">
        <f>'[1]NCOB'!X45</f>
        <v>1886.9</v>
      </c>
      <c r="F110" s="80">
        <f>E110*'[1]NCOB'!C1</f>
        <v>39624.9</v>
      </c>
      <c r="G110" s="80"/>
      <c r="H110" s="80"/>
      <c r="I110" s="80"/>
      <c r="J110" s="80">
        <f t="shared" si="16"/>
        <v>39624.9</v>
      </c>
      <c r="K110" s="43">
        <f t="shared" si="20"/>
        <v>675.604545</v>
      </c>
      <c r="L110" s="81"/>
      <c r="M110" s="81">
        <f>G110</f>
        <v>0</v>
      </c>
      <c r="N110" s="81">
        <f>H110</f>
        <v>0</v>
      </c>
      <c r="O110" s="81">
        <f>I110</f>
        <v>0</v>
      </c>
      <c r="P110" s="82">
        <v>0</v>
      </c>
      <c r="Q110" s="83">
        <f>K110</f>
        <v>675.604545</v>
      </c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90" customFormat="1" ht="37.5" customHeight="1" thickBot="1" thickTop="1">
      <c r="A111" s="92" t="s">
        <v>148</v>
      </c>
      <c r="B111" s="93" t="s">
        <v>173</v>
      </c>
      <c r="C111" s="94" t="s">
        <v>174</v>
      </c>
      <c r="D111" s="95" t="s">
        <v>32</v>
      </c>
      <c r="E111" s="96">
        <f>'[1]NCOB'!V45</f>
        <v>0</v>
      </c>
      <c r="F111" s="80">
        <f>'[1]NCOB'!V47</f>
        <v>0</v>
      </c>
      <c r="G111" s="80"/>
      <c r="H111" s="80"/>
      <c r="I111" s="80"/>
      <c r="J111" s="80">
        <f t="shared" si="16"/>
        <v>0</v>
      </c>
      <c r="K111" s="43">
        <f t="shared" si="20"/>
        <v>0</v>
      </c>
      <c r="L111" s="81"/>
      <c r="M111" s="81">
        <f t="shared" si="22"/>
        <v>0</v>
      </c>
      <c r="N111" s="81">
        <f t="shared" si="22"/>
        <v>0</v>
      </c>
      <c r="O111" s="81">
        <f t="shared" si="22"/>
        <v>0</v>
      </c>
      <c r="P111" s="82">
        <v>0</v>
      </c>
      <c r="Q111" s="83">
        <f t="shared" si="17"/>
        <v>0</v>
      </c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s="90" customFormat="1" ht="37.5" customHeight="1" thickBot="1" thickTop="1">
      <c r="A112" s="92" t="s">
        <v>148</v>
      </c>
      <c r="B112" s="93" t="s">
        <v>172</v>
      </c>
      <c r="C112" s="94" t="s">
        <v>174</v>
      </c>
      <c r="D112" s="95" t="s">
        <v>32</v>
      </c>
      <c r="E112" s="96">
        <f>'[1]NCOB'!Z45</f>
        <v>11828.3</v>
      </c>
      <c r="F112" s="80">
        <f>'[1]NCOB'!Z47</f>
        <v>248394.3</v>
      </c>
      <c r="G112" s="80"/>
      <c r="H112" s="80"/>
      <c r="I112" s="80"/>
      <c r="J112" s="80">
        <f t="shared" si="16"/>
        <v>248394.3</v>
      </c>
      <c r="K112" s="43">
        <f t="shared" si="20"/>
        <v>4235.122815</v>
      </c>
      <c r="L112" s="81"/>
      <c r="M112" s="81">
        <f t="shared" si="22"/>
        <v>0</v>
      </c>
      <c r="N112" s="81">
        <f t="shared" si="22"/>
        <v>0</v>
      </c>
      <c r="O112" s="81">
        <f t="shared" si="22"/>
        <v>0</v>
      </c>
      <c r="P112" s="82">
        <v>0</v>
      </c>
      <c r="Q112" s="83">
        <f t="shared" si="17"/>
        <v>4235.122815</v>
      </c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s="90" customFormat="1" ht="37.5" customHeight="1" thickBot="1" thickTop="1">
      <c r="A113" s="92" t="s">
        <v>148</v>
      </c>
      <c r="B113" s="93" t="s">
        <v>172</v>
      </c>
      <c r="C113" s="94" t="s">
        <v>174</v>
      </c>
      <c r="D113" s="95" t="s">
        <v>32</v>
      </c>
      <c r="E113" s="96">
        <f>'[1]NCOB'!Y45</f>
        <v>10884.1</v>
      </c>
      <c r="F113" s="80">
        <f>'[1]NCOB'!Y47</f>
        <v>228566.1</v>
      </c>
      <c r="G113" s="80"/>
      <c r="H113" s="80"/>
      <c r="I113" s="80"/>
      <c r="J113" s="80">
        <f t="shared" si="16"/>
        <v>228566.1</v>
      </c>
      <c r="K113" s="43">
        <f t="shared" si="20"/>
        <v>3897.052005</v>
      </c>
      <c r="L113" s="81"/>
      <c r="M113" s="81">
        <f t="shared" si="22"/>
        <v>0</v>
      </c>
      <c r="N113" s="81">
        <f t="shared" si="22"/>
        <v>0</v>
      </c>
      <c r="O113" s="81">
        <f t="shared" si="22"/>
        <v>0</v>
      </c>
      <c r="P113" s="82">
        <v>0</v>
      </c>
      <c r="Q113" s="83">
        <f t="shared" si="17"/>
        <v>3897.052005</v>
      </c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s="90" customFormat="1" ht="37.5" customHeight="1" hidden="1" thickBot="1" thickTop="1">
      <c r="A114" s="75" t="s">
        <v>148</v>
      </c>
      <c r="B114" s="76" t="s">
        <v>86</v>
      </c>
      <c r="C114" s="77" t="s">
        <v>175</v>
      </c>
      <c r="D114" s="91" t="s">
        <v>32</v>
      </c>
      <c r="E114" s="89">
        <f>'[1]NCOB'!R40</f>
        <v>22906.2</v>
      </c>
      <c r="F114" s="80">
        <f>E114*'[1]NCOB'!$C$1</f>
        <v>481030.2</v>
      </c>
      <c r="G114" s="80"/>
      <c r="H114" s="80"/>
      <c r="I114" s="80"/>
      <c r="J114" s="80">
        <f t="shared" si="16"/>
        <v>481030.2</v>
      </c>
      <c r="K114" s="43">
        <f t="shared" si="20"/>
        <v>8201.56491</v>
      </c>
      <c r="L114" s="81"/>
      <c r="M114" s="81">
        <f t="shared" si="22"/>
        <v>0</v>
      </c>
      <c r="N114" s="81">
        <f t="shared" si="22"/>
        <v>0</v>
      </c>
      <c r="O114" s="81">
        <f t="shared" si="22"/>
        <v>0</v>
      </c>
      <c r="P114" s="82">
        <v>0</v>
      </c>
      <c r="Q114" s="83">
        <f t="shared" si="17"/>
        <v>8201.56491</v>
      </c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s="90" customFormat="1" ht="37.5" customHeight="1" hidden="1" thickBot="1" thickTop="1">
      <c r="A115" s="75" t="s">
        <v>148</v>
      </c>
      <c r="B115" s="76" t="s">
        <v>86</v>
      </c>
      <c r="C115" s="77" t="s">
        <v>176</v>
      </c>
      <c r="D115" s="91" t="s">
        <v>32</v>
      </c>
      <c r="E115" s="89">
        <f>'[1]NCOB'!R41</f>
        <v>22803.8</v>
      </c>
      <c r="F115" s="80">
        <f>E115*'[1]NCOB'!$C$1</f>
        <v>478879.8</v>
      </c>
      <c r="G115" s="80"/>
      <c r="H115" s="80"/>
      <c r="I115" s="80"/>
      <c r="J115" s="80">
        <f t="shared" si="16"/>
        <v>478879.8</v>
      </c>
      <c r="K115" s="43">
        <f t="shared" si="20"/>
        <v>8164.900589999999</v>
      </c>
      <c r="L115" s="81"/>
      <c r="M115" s="81">
        <f t="shared" si="22"/>
        <v>0</v>
      </c>
      <c r="N115" s="81">
        <f t="shared" si="22"/>
        <v>0</v>
      </c>
      <c r="O115" s="81">
        <f t="shared" si="22"/>
        <v>0</v>
      </c>
      <c r="P115" s="82">
        <v>0</v>
      </c>
      <c r="Q115" s="83">
        <f t="shared" si="17"/>
        <v>8164.900589999999</v>
      </c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s="90" customFormat="1" ht="37.5" customHeight="1" hidden="1" thickBot="1" thickTop="1">
      <c r="A116" s="75" t="s">
        <v>148</v>
      </c>
      <c r="B116" s="76" t="s">
        <v>86</v>
      </c>
      <c r="C116" s="77" t="s">
        <v>177</v>
      </c>
      <c r="D116" s="91" t="s">
        <v>32</v>
      </c>
      <c r="E116" s="89">
        <f>'[1]NCOB'!R42</f>
        <v>22803.8</v>
      </c>
      <c r="F116" s="80">
        <f>E116*'[1]NCOB'!$C$1</f>
        <v>478879.8</v>
      </c>
      <c r="G116" s="80"/>
      <c r="H116" s="80"/>
      <c r="I116" s="80"/>
      <c r="J116" s="80">
        <f t="shared" si="16"/>
        <v>478879.8</v>
      </c>
      <c r="K116" s="43">
        <f t="shared" si="20"/>
        <v>8164.900589999999</v>
      </c>
      <c r="L116" s="81"/>
      <c r="M116" s="81">
        <f t="shared" si="22"/>
        <v>0</v>
      </c>
      <c r="N116" s="81">
        <f t="shared" si="22"/>
        <v>0</v>
      </c>
      <c r="O116" s="81">
        <f t="shared" si="22"/>
        <v>0</v>
      </c>
      <c r="P116" s="82">
        <v>0</v>
      </c>
      <c r="Q116" s="83">
        <f t="shared" si="17"/>
        <v>8164.900589999999</v>
      </c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s="90" customFormat="1" ht="37.5" customHeight="1" hidden="1" thickBot="1" thickTop="1">
      <c r="A117" s="75" t="s">
        <v>148</v>
      </c>
      <c r="B117" s="76" t="s">
        <v>86</v>
      </c>
      <c r="C117" s="77" t="s">
        <v>178</v>
      </c>
      <c r="D117" s="91" t="s">
        <v>32</v>
      </c>
      <c r="E117" s="89">
        <f>'[1]NCOB'!R43</f>
        <v>22803.8</v>
      </c>
      <c r="F117" s="80">
        <f>E117*'[1]NCOB'!$C$1</f>
        <v>478879.8</v>
      </c>
      <c r="G117" s="80"/>
      <c r="H117" s="80"/>
      <c r="I117" s="80"/>
      <c r="J117" s="80">
        <f t="shared" si="16"/>
        <v>478879.8</v>
      </c>
      <c r="K117" s="43">
        <f t="shared" si="20"/>
        <v>8164.900589999999</v>
      </c>
      <c r="L117" s="81"/>
      <c r="M117" s="81">
        <f t="shared" si="22"/>
        <v>0</v>
      </c>
      <c r="N117" s="81">
        <f t="shared" si="22"/>
        <v>0</v>
      </c>
      <c r="O117" s="81">
        <f t="shared" si="22"/>
        <v>0</v>
      </c>
      <c r="P117" s="82">
        <v>0</v>
      </c>
      <c r="Q117" s="83">
        <f t="shared" si="17"/>
        <v>8164.900589999999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s="90" customFormat="1" ht="37.5" customHeight="1" hidden="1" thickBot="1" thickTop="1">
      <c r="A118" s="75" t="s">
        <v>148</v>
      </c>
      <c r="B118" s="76" t="s">
        <v>86</v>
      </c>
      <c r="C118" s="77" t="s">
        <v>179</v>
      </c>
      <c r="D118" s="91" t="s">
        <v>32</v>
      </c>
      <c r="E118" s="89">
        <f>'[1]NCOB'!R44</f>
        <v>22218.4</v>
      </c>
      <c r="F118" s="80">
        <f>E118*'[1]NCOB'!$C$1</f>
        <v>466586.4</v>
      </c>
      <c r="G118" s="80"/>
      <c r="H118" s="80"/>
      <c r="I118" s="80"/>
      <c r="J118" s="80">
        <f t="shared" si="16"/>
        <v>466586.4</v>
      </c>
      <c r="K118" s="43">
        <f t="shared" si="20"/>
        <v>7955.29812</v>
      </c>
      <c r="L118" s="81"/>
      <c r="M118" s="81">
        <f t="shared" si="22"/>
        <v>0</v>
      </c>
      <c r="N118" s="81">
        <f t="shared" si="22"/>
        <v>0</v>
      </c>
      <c r="O118" s="81">
        <f t="shared" si="22"/>
        <v>0</v>
      </c>
      <c r="P118" s="82">
        <v>0</v>
      </c>
      <c r="Q118" s="83">
        <f t="shared" si="17"/>
        <v>7955.29812</v>
      </c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s="90" customFormat="1" ht="37.5" customHeight="1" hidden="1" thickBot="1" thickTop="1">
      <c r="A119" s="75" t="s">
        <v>148</v>
      </c>
      <c r="B119" s="76" t="s">
        <v>180</v>
      </c>
      <c r="C119" s="77" t="s">
        <v>181</v>
      </c>
      <c r="D119" s="91" t="s">
        <v>32</v>
      </c>
      <c r="E119" s="89">
        <f>'[1]NCOB'!AB45</f>
        <v>3522.8999999999996</v>
      </c>
      <c r="F119" s="80">
        <f>'[1]NCOB'!AB47</f>
        <v>70458</v>
      </c>
      <c r="G119" s="80"/>
      <c r="H119" s="80"/>
      <c r="I119" s="80"/>
      <c r="J119" s="80">
        <f t="shared" si="16"/>
        <v>70458</v>
      </c>
      <c r="K119" s="43">
        <v>0</v>
      </c>
      <c r="L119" s="81">
        <f>-'[1]NCOB'!B51</f>
        <v>5862412</v>
      </c>
      <c r="M119" s="97"/>
      <c r="N119" s="81"/>
      <c r="O119" s="81">
        <f>'[1]NCOB'!B72</f>
        <v>127013.85000000056</v>
      </c>
      <c r="P119" s="82"/>
      <c r="Q119" s="83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17" ht="30" customHeight="1" hidden="1" thickBot="1" thickTop="1">
      <c r="A120" s="98" t="s">
        <v>1</v>
      </c>
      <c r="B120" s="99"/>
      <c r="C120" s="99"/>
      <c r="D120" s="100"/>
      <c r="E120" s="101"/>
      <c r="F120" s="102">
        <f aca="true" t="shared" si="23" ref="F120:Q120">SUM(F6:F119)</f>
        <v>22295271.467132658</v>
      </c>
      <c r="G120" s="102">
        <f t="shared" si="23"/>
        <v>3106255.685817</v>
      </c>
      <c r="H120" s="102">
        <f t="shared" si="23"/>
        <v>718484.007</v>
      </c>
      <c r="I120" s="102">
        <f t="shared" si="23"/>
        <v>411501.65</v>
      </c>
      <c r="J120" s="102">
        <f t="shared" si="23"/>
        <v>26531512.809949648</v>
      </c>
      <c r="K120" s="103">
        <f t="shared" si="23"/>
        <v>297548.95578589285</v>
      </c>
      <c r="L120" s="104">
        <f t="shared" si="23"/>
        <v>21796629.728996657</v>
      </c>
      <c r="M120" s="104">
        <f t="shared" si="23"/>
        <v>3332553.965817</v>
      </c>
      <c r="N120" s="104">
        <f t="shared" si="23"/>
        <v>317141.60699999996</v>
      </c>
      <c r="O120" s="104">
        <f t="shared" si="23"/>
        <v>1085187.5081359986</v>
      </c>
      <c r="P120" s="104">
        <f t="shared" si="23"/>
        <v>0</v>
      </c>
      <c r="Q120" s="103">
        <f t="shared" si="23"/>
        <v>297548.95578589285</v>
      </c>
    </row>
    <row r="121" spans="11:17" ht="19.5" customHeight="1" hidden="1" thickTop="1">
      <c r="K121" s="105" t="s">
        <v>1</v>
      </c>
      <c r="O121" s="7" t="s">
        <v>1</v>
      </c>
      <c r="Q121" s="8"/>
    </row>
    <row r="122" spans="6:17" ht="19.5" customHeight="1" hidden="1">
      <c r="F122" s="106" t="s">
        <v>182</v>
      </c>
      <c r="G122" s="106" t="s">
        <v>183</v>
      </c>
      <c r="H122" s="106"/>
      <c r="L122" s="7" t="s">
        <v>1</v>
      </c>
      <c r="Q122" s="8"/>
    </row>
    <row r="123" spans="5:17" ht="19.5" customHeight="1" hidden="1">
      <c r="E123" s="4" t="s">
        <v>13</v>
      </c>
      <c r="F123" s="5">
        <f>F120</f>
        <v>22295271.467132658</v>
      </c>
      <c r="G123" s="5">
        <f>L120</f>
        <v>21796629.728996657</v>
      </c>
      <c r="J123" s="5" t="s">
        <v>1</v>
      </c>
      <c r="Q123" s="8"/>
    </row>
    <row r="124" spans="2:17" ht="19.5" customHeight="1" hidden="1">
      <c r="B124" s="107"/>
      <c r="E124" s="4" t="s">
        <v>184</v>
      </c>
      <c r="F124" s="5">
        <f>G120</f>
        <v>3106255.685817</v>
      </c>
      <c r="G124" s="5">
        <f>M120</f>
        <v>3332553.965817</v>
      </c>
      <c r="Q124" s="8"/>
    </row>
    <row r="125" spans="2:17" ht="19.5" customHeight="1" hidden="1">
      <c r="B125" s="108"/>
      <c r="E125" s="4" t="s">
        <v>15</v>
      </c>
      <c r="F125" s="5">
        <f>H120</f>
        <v>718484.007</v>
      </c>
      <c r="G125" s="5">
        <f>N120</f>
        <v>317141.60699999996</v>
      </c>
      <c r="Q125" s="8"/>
    </row>
    <row r="126" spans="2:17" ht="19.5" customHeight="1" hidden="1">
      <c r="B126" s="108"/>
      <c r="E126" s="4" t="s">
        <v>185</v>
      </c>
      <c r="F126" s="109">
        <f>I120</f>
        <v>411501.65</v>
      </c>
      <c r="G126" s="109">
        <f>O120</f>
        <v>1085187.5081359986</v>
      </c>
      <c r="Q126" s="8"/>
    </row>
    <row r="127" spans="5:17" ht="19.5" customHeight="1" hidden="1">
      <c r="E127" s="4" t="s">
        <v>186</v>
      </c>
      <c r="F127" s="5">
        <f>SUM(F123:F126)</f>
        <v>26531512.809949655</v>
      </c>
      <c r="G127" s="5">
        <f>SUM(G123:G126)</f>
        <v>26531512.80994966</v>
      </c>
      <c r="H127" s="109"/>
      <c r="I127" s="110"/>
      <c r="J127" s="110"/>
      <c r="Q127" s="8"/>
    </row>
    <row r="128" spans="5:17" ht="19.5" customHeight="1" hidden="1">
      <c r="E128" s="4" t="s">
        <v>18</v>
      </c>
      <c r="F128" s="5">
        <f>K120</f>
        <v>297548.95578589285</v>
      </c>
      <c r="G128" s="5">
        <f>Q120</f>
        <v>297548.95578589285</v>
      </c>
      <c r="H128" s="111"/>
      <c r="I128" s="112"/>
      <c r="J128" s="112"/>
      <c r="Q128" s="8"/>
    </row>
    <row r="129" spans="5:17" ht="19.5" customHeight="1" hidden="1">
      <c r="E129" s="4" t="s">
        <v>187</v>
      </c>
      <c r="F129" s="5">
        <f>SUM(F127:F128)</f>
        <v>26829061.765735548</v>
      </c>
      <c r="G129" s="5">
        <f>SUM(G127:G128)</f>
        <v>26829061.76573555</v>
      </c>
      <c r="H129" s="112"/>
      <c r="I129" s="112"/>
      <c r="J129" s="112"/>
      <c r="Q129" s="8"/>
    </row>
    <row r="130" spans="1:17" ht="19.5" customHeight="1" hidden="1">
      <c r="A130" s="113"/>
      <c r="B130" s="107"/>
      <c r="C130" s="107"/>
      <c r="D130" s="114"/>
      <c r="F130" s="5" t="s">
        <v>1</v>
      </c>
      <c r="G130" s="5" t="s">
        <v>1</v>
      </c>
      <c r="Q130" s="8"/>
    </row>
    <row r="131" spans="1:45" s="107" customFormat="1" ht="19.5" customHeight="1" hidden="1">
      <c r="A131" s="113"/>
      <c r="D131" s="114"/>
      <c r="E131" s="115" t="s">
        <v>188</v>
      </c>
      <c r="F131" s="116"/>
      <c r="G131" s="116">
        <f>G127*H131</f>
        <v>265315.1280994966</v>
      </c>
      <c r="H131" s="117">
        <v>0.01</v>
      </c>
      <c r="I131" s="116"/>
      <c r="J131" s="116"/>
      <c r="K131" s="8"/>
      <c r="L131" s="118"/>
      <c r="M131" s="118"/>
      <c r="N131" s="118"/>
      <c r="O131" s="118"/>
      <c r="P131" s="118"/>
      <c r="Q131" s="119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17" ht="31.5" customHeight="1" hidden="1">
      <c r="A132" s="113"/>
      <c r="B132" s="107"/>
      <c r="C132" s="107"/>
      <c r="D132" s="114"/>
      <c r="E132" s="120" t="s">
        <v>189</v>
      </c>
      <c r="F132" s="5" t="s">
        <v>1</v>
      </c>
      <c r="G132" s="5">
        <f>G129+G131</f>
        <v>27094376.89383505</v>
      </c>
      <c r="H132" s="109"/>
      <c r="Q132" s="8"/>
    </row>
    <row r="133" spans="2:6" ht="19.5" customHeight="1" thickTop="1">
      <c r="B133" s="121"/>
      <c r="F133" s="5" t="s">
        <v>1</v>
      </c>
    </row>
    <row r="134" spans="2:7" ht="19.5" customHeight="1" hidden="1">
      <c r="B134" s="121"/>
      <c r="E134" s="4" t="s">
        <v>190</v>
      </c>
      <c r="G134" s="5">
        <v>1279083</v>
      </c>
    </row>
    <row r="135" ht="19.5" customHeight="1" hidden="1"/>
    <row r="136" spans="5:7" ht="19.5" customHeight="1" hidden="1">
      <c r="E136" s="13" t="s">
        <v>191</v>
      </c>
      <c r="F136" s="51"/>
      <c r="G136" s="51">
        <f>SUM(G132:G134)</f>
        <v>28373459.89383505</v>
      </c>
    </row>
    <row r="137" ht="19.5" customHeight="1">
      <c r="A137" s="1" t="s">
        <v>249</v>
      </c>
    </row>
  </sheetData>
  <sheetProtection/>
  <mergeCells count="4">
    <mergeCell ref="L2:Q2"/>
    <mergeCell ref="F3:I3"/>
    <mergeCell ref="L3:Q3"/>
    <mergeCell ref="F2:J2"/>
  </mergeCells>
  <printOptions gridLines="1" horizontalCentered="1" verticalCentered="1"/>
  <pageMargins left="0.25" right="0.25" top="1" bottom="1" header="0.5" footer="0.5"/>
  <pageSetup fitToHeight="1" fitToWidth="1" horizontalDpi="600" verticalDpi="600" orientation="landscape" scale="66" r:id="rId3"/>
  <headerFooter alignWithMargins="0">
    <oddHeader>&amp;C&amp;"Arial,Bold"&amp;14Excerpts From Master Lease Data Base Provided by Executive Staff for Long Term Lease Fund (33155)&amp;"Arial,Regular"&amp;10
&amp;"Arial,Bold"&amp;14(Formerly Known as Building Modernization Construction Fund)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22.28125" style="0" customWidth="1"/>
    <col min="7" max="7" width="12.28125" style="0" bestFit="1" customWidth="1"/>
    <col min="8" max="8" width="14.00390625" style="0" bestFit="1" customWidth="1"/>
    <col min="9" max="9" width="12.28125" style="0" bestFit="1" customWidth="1"/>
    <col min="10" max="10" width="10.28125" style="0" bestFit="1" customWidth="1"/>
    <col min="11" max="11" width="12.28125" style="0" bestFit="1" customWidth="1"/>
    <col min="12" max="13" width="11.28125" style="0" bestFit="1" customWidth="1"/>
    <col min="14" max="14" width="5.7109375" style="0" bestFit="1" customWidth="1"/>
    <col min="15" max="15" width="11.28125" style="0" bestFit="1" customWidth="1"/>
    <col min="16" max="16" width="12.28125" style="0" bestFit="1" customWidth="1"/>
    <col min="17" max="17" width="11.28125" style="0" bestFit="1" customWidth="1"/>
    <col min="18" max="18" width="14.00390625" style="0" bestFit="1" customWidth="1"/>
    <col min="19" max="21" width="11.28125" style="0" bestFit="1" customWidth="1"/>
    <col min="22" max="22" width="5.7109375" style="0" bestFit="1" customWidth="1"/>
    <col min="23" max="23" width="10.28125" style="0" bestFit="1" customWidth="1"/>
    <col min="24" max="24" width="11.28125" style="0" bestFit="1" customWidth="1"/>
    <col min="25" max="26" width="12.28125" style="0" bestFit="1" customWidth="1"/>
    <col min="27" max="27" width="6.28125" style="0" bestFit="1" customWidth="1"/>
    <col min="28" max="28" width="11.28125" style="0" bestFit="1" customWidth="1"/>
    <col min="29" max="29" width="11.7109375" style="0" customWidth="1"/>
    <col min="30" max="30" width="10.28125" style="0" bestFit="1" customWidth="1"/>
  </cols>
  <sheetData>
    <row r="1" spans="1:30" ht="12.75">
      <c r="A1" t="s">
        <v>198</v>
      </c>
      <c r="B1" t="s">
        <v>199</v>
      </c>
      <c r="C1" s="123">
        <v>21</v>
      </c>
      <c r="E1" s="124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6"/>
      <c r="AC1" s="126"/>
      <c r="AD1" s="127"/>
    </row>
    <row r="2" spans="2:30" ht="12.75">
      <c r="B2" t="s">
        <v>200</v>
      </c>
      <c r="C2" s="128">
        <v>20.75</v>
      </c>
      <c r="E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6"/>
      <c r="AC2" s="126"/>
      <c r="AD2" s="127"/>
    </row>
    <row r="3" spans="2:30" ht="12.75">
      <c r="B3" t="s">
        <v>201</v>
      </c>
      <c r="C3" s="128">
        <v>0</v>
      </c>
      <c r="E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6"/>
      <c r="AC3" s="126"/>
      <c r="AD3" s="127"/>
    </row>
    <row r="4" spans="2:30" ht="12.75">
      <c r="B4" t="s">
        <v>202</v>
      </c>
      <c r="C4" s="129">
        <v>20</v>
      </c>
      <c r="E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6"/>
      <c r="AD4" s="127"/>
    </row>
    <row r="5" spans="2:30" ht="12.75">
      <c r="B5" t="s">
        <v>203</v>
      </c>
      <c r="C5" s="129">
        <v>20</v>
      </c>
      <c r="E5" s="124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6"/>
      <c r="AC5" s="126"/>
      <c r="AD5" s="127"/>
    </row>
    <row r="6" spans="2:30" ht="12.75">
      <c r="B6" t="s">
        <v>204</v>
      </c>
      <c r="C6" s="129">
        <v>0</v>
      </c>
      <c r="E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  <c r="AC6" s="126"/>
      <c r="AD6" s="127"/>
    </row>
    <row r="7" spans="1:30" ht="63.75">
      <c r="A7" s="130"/>
      <c r="B7" s="130" t="s">
        <v>205</v>
      </c>
      <c r="C7" s="130" t="s">
        <v>206</v>
      </c>
      <c r="D7" s="130" t="s">
        <v>207</v>
      </c>
      <c r="E7" s="131" t="s">
        <v>208</v>
      </c>
      <c r="F7" s="130"/>
      <c r="G7" s="132" t="s">
        <v>209</v>
      </c>
      <c r="H7" s="132" t="s">
        <v>210</v>
      </c>
      <c r="I7" s="132" t="s">
        <v>211</v>
      </c>
      <c r="J7" s="132" t="s">
        <v>212</v>
      </c>
      <c r="K7" s="133" t="s">
        <v>137</v>
      </c>
      <c r="L7" s="133" t="s">
        <v>213</v>
      </c>
      <c r="M7" s="134" t="s">
        <v>214</v>
      </c>
      <c r="N7" s="134" t="s">
        <v>215</v>
      </c>
      <c r="O7" s="134" t="s">
        <v>216</v>
      </c>
      <c r="P7" s="135" t="s">
        <v>167</v>
      </c>
      <c r="Q7" s="135" t="s">
        <v>217</v>
      </c>
      <c r="R7" s="136" t="s">
        <v>86</v>
      </c>
      <c r="S7" s="136" t="s">
        <v>218</v>
      </c>
      <c r="T7" s="131" t="s">
        <v>219</v>
      </c>
      <c r="U7" s="131" t="s">
        <v>220</v>
      </c>
      <c r="V7" s="131" t="s">
        <v>173</v>
      </c>
      <c r="W7" s="131" t="s">
        <v>221</v>
      </c>
      <c r="X7" s="131" t="s">
        <v>172</v>
      </c>
      <c r="Y7" s="131" t="s">
        <v>172</v>
      </c>
      <c r="Z7" s="131" t="s">
        <v>172</v>
      </c>
      <c r="AA7" s="131" t="s">
        <v>222</v>
      </c>
      <c r="AB7" s="131" t="s">
        <v>223</v>
      </c>
      <c r="AC7" s="131" t="s">
        <v>224</v>
      </c>
      <c r="AD7" s="137" t="s">
        <v>186</v>
      </c>
    </row>
    <row r="8" spans="1:30" ht="12.75">
      <c r="A8" t="s">
        <v>225</v>
      </c>
      <c r="B8" t="s">
        <v>215</v>
      </c>
      <c r="C8">
        <v>892.7</v>
      </c>
      <c r="D8">
        <v>892.7</v>
      </c>
      <c r="E8" s="138">
        <v>1011.3</v>
      </c>
      <c r="G8" s="124"/>
      <c r="H8" s="124"/>
      <c r="I8" s="124"/>
      <c r="J8" s="124"/>
      <c r="K8" s="124"/>
      <c r="L8" s="124"/>
      <c r="M8" s="124"/>
      <c r="N8" s="124"/>
      <c r="O8" s="124">
        <f>E8</f>
        <v>1011.3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7">
        <f>SUM(G8:AC8)</f>
        <v>1011.3</v>
      </c>
    </row>
    <row r="9" spans="1:30" ht="12.75">
      <c r="A9" t="s">
        <v>226</v>
      </c>
      <c r="B9" t="s">
        <v>227</v>
      </c>
      <c r="C9">
        <v>967.9</v>
      </c>
      <c r="D9" s="138">
        <v>1098.1</v>
      </c>
      <c r="E9" s="138">
        <v>1243.9</v>
      </c>
      <c r="G9" s="124"/>
      <c r="H9" s="124"/>
      <c r="I9" s="124"/>
      <c r="J9" s="124">
        <f>$E$9/6</f>
        <v>207.3166666666667</v>
      </c>
      <c r="K9" s="124"/>
      <c r="L9" s="124">
        <f>$E$9/6</f>
        <v>207.3166666666667</v>
      </c>
      <c r="M9" s="124"/>
      <c r="N9" s="124"/>
      <c r="O9" s="124"/>
      <c r="P9" s="124"/>
      <c r="Q9" s="124">
        <f>$E$9/6</f>
        <v>207.3166666666667</v>
      </c>
      <c r="R9" s="124"/>
      <c r="S9" s="124">
        <f>$E$9/2</f>
        <v>621.95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7">
        <f aca="true" t="shared" si="0" ref="AD9:AD44">SUM(G9:AC9)</f>
        <v>1243.9</v>
      </c>
    </row>
    <row r="10" spans="1:30" ht="12.75">
      <c r="A10" t="s">
        <v>226</v>
      </c>
      <c r="B10" t="s">
        <v>167</v>
      </c>
      <c r="C10">
        <v>299.9</v>
      </c>
      <c r="D10">
        <v>340.2</v>
      </c>
      <c r="E10">
        <v>385.4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>
        <f>E10</f>
        <v>385.4</v>
      </c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7">
        <f t="shared" si="0"/>
        <v>385.4</v>
      </c>
    </row>
    <row r="11" spans="1:30" ht="12.75">
      <c r="A11" t="s">
        <v>226</v>
      </c>
      <c r="B11" t="s">
        <v>86</v>
      </c>
      <c r="C11">
        <v>253.2</v>
      </c>
      <c r="D11">
        <v>287.2</v>
      </c>
      <c r="E11">
        <v>325.4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>
        <f>E11</f>
        <v>325.4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7">
        <f t="shared" si="0"/>
        <v>325.4</v>
      </c>
    </row>
    <row r="12" spans="1:30" ht="12.75">
      <c r="A12" t="s">
        <v>226</v>
      </c>
      <c r="B12" t="s">
        <v>86</v>
      </c>
      <c r="C12">
        <v>190.3</v>
      </c>
      <c r="D12">
        <v>215.9</v>
      </c>
      <c r="E12">
        <v>244.6</v>
      </c>
      <c r="G12" s="124"/>
      <c r="H12" s="124"/>
      <c r="I12" s="124"/>
      <c r="J12" s="124" t="s">
        <v>1</v>
      </c>
      <c r="K12" s="124"/>
      <c r="L12" s="124"/>
      <c r="M12" s="124"/>
      <c r="N12" s="124"/>
      <c r="O12" s="124"/>
      <c r="P12" s="124"/>
      <c r="Q12" s="124"/>
      <c r="R12" s="124"/>
      <c r="S12" s="124">
        <f>E12</f>
        <v>244.6</v>
      </c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7">
        <f t="shared" si="0"/>
        <v>244.6</v>
      </c>
    </row>
    <row r="13" spans="1:30" ht="12.75">
      <c r="A13" t="s">
        <v>226</v>
      </c>
      <c r="B13" t="s">
        <v>215</v>
      </c>
      <c r="C13">
        <v>232.4</v>
      </c>
      <c r="D13">
        <v>263.6</v>
      </c>
      <c r="E13">
        <v>298.6</v>
      </c>
      <c r="G13" s="124"/>
      <c r="H13" s="124"/>
      <c r="I13" s="124"/>
      <c r="J13" s="124"/>
      <c r="K13" s="124"/>
      <c r="L13" s="124"/>
      <c r="M13" s="124"/>
      <c r="N13" s="124"/>
      <c r="O13" s="124">
        <f>E13</f>
        <v>298.6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7">
        <f t="shared" si="0"/>
        <v>298.6</v>
      </c>
    </row>
    <row r="14" spans="1:30" ht="12.75">
      <c r="A14" t="s">
        <v>226</v>
      </c>
      <c r="B14" t="s">
        <v>215</v>
      </c>
      <c r="C14">
        <v>435.6</v>
      </c>
      <c r="D14">
        <v>494.1</v>
      </c>
      <c r="E14">
        <v>559.8</v>
      </c>
      <c r="G14" s="124"/>
      <c r="H14" s="124"/>
      <c r="I14" s="124"/>
      <c r="J14" s="124"/>
      <c r="K14" s="124"/>
      <c r="L14" s="124"/>
      <c r="M14" s="124"/>
      <c r="N14" s="124"/>
      <c r="O14" s="124">
        <f>E14</f>
        <v>559.8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7">
        <f t="shared" si="0"/>
        <v>559.8</v>
      </c>
    </row>
    <row r="15" spans="1:30" ht="12.75">
      <c r="A15" t="s">
        <v>226</v>
      </c>
      <c r="B15" t="s">
        <v>215</v>
      </c>
      <c r="C15">
        <v>370.6</v>
      </c>
      <c r="D15">
        <v>420.5</v>
      </c>
      <c r="E15">
        <v>476.3</v>
      </c>
      <c r="G15" s="124"/>
      <c r="H15" s="124"/>
      <c r="I15" s="124"/>
      <c r="J15" s="124"/>
      <c r="K15" s="124"/>
      <c r="L15" s="124"/>
      <c r="M15" s="124"/>
      <c r="N15" s="124"/>
      <c r="O15" s="124">
        <f>E15</f>
        <v>476.3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7">
        <f t="shared" si="0"/>
        <v>476.3</v>
      </c>
    </row>
    <row r="16" spans="1:30" ht="12.75">
      <c r="A16" t="s">
        <v>226</v>
      </c>
      <c r="B16" t="s">
        <v>137</v>
      </c>
      <c r="C16">
        <v>271.1</v>
      </c>
      <c r="D16">
        <v>307.5</v>
      </c>
      <c r="E16">
        <v>348.3</v>
      </c>
      <c r="G16" s="124"/>
      <c r="H16" s="124"/>
      <c r="I16" s="124"/>
      <c r="J16" s="124"/>
      <c r="K16" s="124"/>
      <c r="L16" s="124">
        <f>E16</f>
        <v>348.3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7">
        <f t="shared" si="0"/>
        <v>348.3</v>
      </c>
    </row>
    <row r="17" spans="1:30" ht="12.75">
      <c r="A17" t="s">
        <v>226</v>
      </c>
      <c r="B17" t="s">
        <v>228</v>
      </c>
      <c r="C17">
        <v>159.2</v>
      </c>
      <c r="D17">
        <v>180.6</v>
      </c>
      <c r="E17">
        <v>204.6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>
        <f>E17</f>
        <v>204.6</v>
      </c>
      <c r="X17" s="124"/>
      <c r="Y17" s="124"/>
      <c r="Z17" s="124"/>
      <c r="AA17" s="124"/>
      <c r="AB17" s="124"/>
      <c r="AC17" s="124"/>
      <c r="AD17" s="127">
        <f t="shared" si="0"/>
        <v>204.6</v>
      </c>
    </row>
    <row r="18" spans="1:30" ht="12.75">
      <c r="A18" t="s">
        <v>229</v>
      </c>
      <c r="B18" t="s">
        <v>204</v>
      </c>
      <c r="C18" s="138">
        <v>5638.2</v>
      </c>
      <c r="D18" s="138">
        <v>5638.2</v>
      </c>
      <c r="E18" s="138">
        <v>6386.9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>
        <f>E18</f>
        <v>6386.9</v>
      </c>
      <c r="AD18" s="127">
        <f t="shared" si="0"/>
        <v>6386.9</v>
      </c>
    </row>
    <row r="19" spans="1:30" ht="12.75">
      <c r="A19" t="s">
        <v>229</v>
      </c>
      <c r="B19" t="s">
        <v>211</v>
      </c>
      <c r="C19">
        <v>216.7</v>
      </c>
      <c r="D19">
        <v>216.7</v>
      </c>
      <c r="E19">
        <v>245.4</v>
      </c>
      <c r="G19" s="124"/>
      <c r="H19" s="124"/>
      <c r="I19" s="124"/>
      <c r="J19" s="124">
        <f>E19</f>
        <v>245.4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7">
        <f t="shared" si="0"/>
        <v>245.4</v>
      </c>
    </row>
    <row r="20" spans="1:30" ht="12.75">
      <c r="A20">
        <v>1</v>
      </c>
      <c r="B20" t="s">
        <v>219</v>
      </c>
      <c r="C20">
        <v>630.5</v>
      </c>
      <c r="D20">
        <v>698.5</v>
      </c>
      <c r="E20">
        <v>791.2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>
        <f>E20</f>
        <v>791.2</v>
      </c>
      <c r="U20" s="124"/>
      <c r="V20" s="124"/>
      <c r="W20" s="124"/>
      <c r="X20" s="124"/>
      <c r="Y20" s="124"/>
      <c r="Z20" s="124"/>
      <c r="AA20" s="124"/>
      <c r="AB20" s="124"/>
      <c r="AC20" s="124"/>
      <c r="AD20" s="127">
        <f t="shared" si="0"/>
        <v>791.2</v>
      </c>
    </row>
    <row r="21" spans="1:30" ht="12.75">
      <c r="A21">
        <v>1</v>
      </c>
      <c r="B21" t="s">
        <v>154</v>
      </c>
      <c r="C21" s="138">
        <v>1452.9</v>
      </c>
      <c r="D21" s="138">
        <v>1609.4</v>
      </c>
      <c r="E21" s="138">
        <v>1823.1</v>
      </c>
      <c r="G21" s="124"/>
      <c r="H21" s="124"/>
      <c r="I21" s="124"/>
      <c r="J21" s="124"/>
      <c r="K21" s="124"/>
      <c r="L21" s="124"/>
      <c r="M21" s="124">
        <f>E21</f>
        <v>1823.1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7">
        <f t="shared" si="0"/>
        <v>1823.1</v>
      </c>
    </row>
    <row r="22" spans="1:30" ht="12.75">
      <c r="A22">
        <v>1</v>
      </c>
      <c r="B22" t="s">
        <v>137</v>
      </c>
      <c r="C22">
        <v>188.1</v>
      </c>
      <c r="D22">
        <v>208.3</v>
      </c>
      <c r="E22">
        <v>236</v>
      </c>
      <c r="G22" s="124"/>
      <c r="H22" s="124"/>
      <c r="I22" s="124"/>
      <c r="J22" s="124"/>
      <c r="K22" s="124"/>
      <c r="L22" s="124">
        <f>E22</f>
        <v>236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7">
        <f t="shared" si="0"/>
        <v>236</v>
      </c>
    </row>
    <row r="23" spans="1:30" ht="12.75">
      <c r="A23">
        <v>1</v>
      </c>
      <c r="B23" t="s">
        <v>230</v>
      </c>
      <c r="C23" s="138">
        <v>3656.7</v>
      </c>
      <c r="D23" s="138">
        <v>4050.6</v>
      </c>
      <c r="E23" s="138">
        <v>4588.5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>
        <f>E23</f>
        <v>4588.5</v>
      </c>
      <c r="V23" s="124"/>
      <c r="W23" s="124"/>
      <c r="X23" s="124"/>
      <c r="Y23" s="124"/>
      <c r="Z23" s="124"/>
      <c r="AA23" s="124"/>
      <c r="AB23" s="124"/>
      <c r="AC23" s="124"/>
      <c r="AD23" s="127">
        <f t="shared" si="0"/>
        <v>4588.5</v>
      </c>
    </row>
    <row r="24" spans="1:30" ht="12.75">
      <c r="A24">
        <v>1</v>
      </c>
      <c r="B24" t="s">
        <v>202</v>
      </c>
      <c r="C24" s="138">
        <v>1065.3</v>
      </c>
      <c r="D24" s="138">
        <v>1180.1</v>
      </c>
      <c r="E24" s="138">
        <v>1336.8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>
        <f>E24</f>
        <v>1336.8</v>
      </c>
      <c r="AC24" s="124"/>
      <c r="AD24" s="127">
        <f t="shared" si="0"/>
        <v>1336.8</v>
      </c>
    </row>
    <row r="25" spans="1:30" ht="12.75">
      <c r="A25">
        <v>1</v>
      </c>
      <c r="B25" t="s">
        <v>203</v>
      </c>
      <c r="C25" s="138">
        <v>1742.2</v>
      </c>
      <c r="D25" s="138">
        <v>1929.8</v>
      </c>
      <c r="E25" s="138">
        <v>2186.1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>
        <f>E25</f>
        <v>2186.1</v>
      </c>
      <c r="AC25" s="124"/>
      <c r="AD25" s="127">
        <f t="shared" si="0"/>
        <v>2186.1</v>
      </c>
    </row>
    <row r="26" spans="1:30" ht="12.75">
      <c r="A26">
        <v>2</v>
      </c>
      <c r="B26" t="s">
        <v>231</v>
      </c>
      <c r="C26" s="138">
        <v>4750.9</v>
      </c>
      <c r="D26" s="138">
        <v>5684.5</v>
      </c>
      <c r="E26" s="138">
        <v>6439.3</v>
      </c>
      <c r="G26" s="124">
        <f>E26</f>
        <v>6439.3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7">
        <f t="shared" si="0"/>
        <v>6439.3</v>
      </c>
    </row>
    <row r="27" spans="1:30" ht="12.75">
      <c r="A27">
        <v>2</v>
      </c>
      <c r="B27" t="s">
        <v>232</v>
      </c>
      <c r="C27" s="138">
        <v>8660.7</v>
      </c>
      <c r="D27" s="138">
        <v>10362.5</v>
      </c>
      <c r="E27" s="138">
        <v>11738.6</v>
      </c>
      <c r="G27" s="124"/>
      <c r="H27" s="124">
        <f>E27</f>
        <v>11738.6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7">
        <f t="shared" si="0"/>
        <v>11738.6</v>
      </c>
    </row>
    <row r="28" spans="1:30" ht="12.75">
      <c r="A28">
        <v>3</v>
      </c>
      <c r="B28" t="s">
        <v>233</v>
      </c>
      <c r="C28" s="138">
        <v>19006.2</v>
      </c>
      <c r="D28" s="138">
        <v>20222.2</v>
      </c>
      <c r="E28" s="138">
        <v>22907.6</v>
      </c>
      <c r="G28" s="124"/>
      <c r="H28" s="124"/>
      <c r="I28" s="124">
        <f>E28</f>
        <v>22907.6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7">
        <f t="shared" si="0"/>
        <v>22907.6</v>
      </c>
    </row>
    <row r="29" spans="1:30" ht="12.75">
      <c r="A29">
        <v>4</v>
      </c>
      <c r="B29" t="s">
        <v>167</v>
      </c>
      <c r="C29" s="138">
        <v>18887.3</v>
      </c>
      <c r="D29" s="138">
        <v>20265</v>
      </c>
      <c r="E29" s="138">
        <v>22955.9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>
        <f>E29</f>
        <v>22955.9</v>
      </c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7">
        <f t="shared" si="0"/>
        <v>22955.9</v>
      </c>
    </row>
    <row r="30" spans="1:30" ht="12.75">
      <c r="A30">
        <v>5</v>
      </c>
      <c r="B30" t="s">
        <v>167</v>
      </c>
      <c r="C30" s="138">
        <v>18829.7</v>
      </c>
      <c r="D30" s="138">
        <v>20282.7</v>
      </c>
      <c r="E30" s="138">
        <v>22976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>
        <f>E30</f>
        <v>22976</v>
      </c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7">
        <f t="shared" si="0"/>
        <v>22976</v>
      </c>
    </row>
    <row r="31" spans="1:30" ht="12.75">
      <c r="A31">
        <v>6</v>
      </c>
      <c r="B31" t="s">
        <v>137</v>
      </c>
      <c r="C31" s="138">
        <f>'[1]alt sq ft ncob'!C33</f>
        <v>17252.8</v>
      </c>
      <c r="D31" s="138">
        <f>'[1]alt sq ft ncob'!D33</f>
        <v>18600.3</v>
      </c>
      <c r="E31" s="138">
        <f>'[1]alt sq ft ncob'!E33</f>
        <v>21095.8</v>
      </c>
      <c r="G31" s="124"/>
      <c r="H31" s="124"/>
      <c r="I31" s="124"/>
      <c r="J31" s="124"/>
      <c r="K31" s="124">
        <f>E31</f>
        <v>21095.8</v>
      </c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7">
        <f t="shared" si="0"/>
        <v>21095.8</v>
      </c>
    </row>
    <row r="32" spans="1:30" ht="12.75">
      <c r="A32">
        <v>6</v>
      </c>
      <c r="B32" t="s">
        <v>172</v>
      </c>
      <c r="C32" s="138">
        <f>'[1]alt sq ft ncob'!C32</f>
        <v>1543.1</v>
      </c>
      <c r="D32" s="138">
        <f>'[1]alt sq ft ncob'!D32</f>
        <v>1663.7</v>
      </c>
      <c r="E32" s="138">
        <f>'[1]alt sq ft ncob'!E32</f>
        <v>1886.9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>
        <f>E32</f>
        <v>1886.9</v>
      </c>
      <c r="Y32" s="124"/>
      <c r="Z32" s="124"/>
      <c r="AA32" s="124"/>
      <c r="AB32" s="124"/>
      <c r="AC32" s="124"/>
      <c r="AD32" s="127">
        <f>SUM(G32:AC32)</f>
        <v>1886.9</v>
      </c>
    </row>
    <row r="33" spans="1:30" ht="12.75">
      <c r="A33">
        <v>7</v>
      </c>
      <c r="B33" t="s">
        <v>137</v>
      </c>
      <c r="C33" s="138">
        <v>18973.4</v>
      </c>
      <c r="D33" s="138">
        <v>20205.6</v>
      </c>
      <c r="E33" s="138">
        <v>22888.7</v>
      </c>
      <c r="G33" s="124"/>
      <c r="H33" s="124"/>
      <c r="I33" s="124"/>
      <c r="J33" s="124"/>
      <c r="K33" s="124">
        <f>E33</f>
        <v>22888.7</v>
      </c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7">
        <f t="shared" si="0"/>
        <v>22888.7</v>
      </c>
    </row>
    <row r="34" spans="1:30" ht="12.75">
      <c r="A34">
        <v>8</v>
      </c>
      <c r="B34" t="s">
        <v>173</v>
      </c>
      <c r="C34" s="138">
        <v>0</v>
      </c>
      <c r="D34" s="138">
        <v>0</v>
      </c>
      <c r="E34" s="138">
        <v>0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>
        <f>E34</f>
        <v>0</v>
      </c>
      <c r="W34" s="124"/>
      <c r="X34" s="124"/>
      <c r="Y34" s="124"/>
      <c r="Z34" s="124"/>
      <c r="AA34" s="124"/>
      <c r="AB34" s="124"/>
      <c r="AC34" s="124"/>
      <c r="AD34" s="127">
        <f t="shared" si="0"/>
        <v>0</v>
      </c>
    </row>
    <row r="35" spans="1:30" ht="12.75">
      <c r="A35">
        <v>8</v>
      </c>
      <c r="B35" t="s">
        <v>173</v>
      </c>
      <c r="C35" s="138">
        <v>0</v>
      </c>
      <c r="D35" s="138">
        <v>0</v>
      </c>
      <c r="E35" s="138">
        <v>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>
        <f>E35</f>
        <v>0</v>
      </c>
      <c r="W35" s="124"/>
      <c r="X35" s="124"/>
      <c r="Y35" s="124"/>
      <c r="Z35" s="124"/>
      <c r="AA35" s="124"/>
      <c r="AB35" s="124"/>
      <c r="AC35" s="124"/>
      <c r="AD35" s="127">
        <f t="shared" si="0"/>
        <v>0</v>
      </c>
    </row>
    <row r="36" spans="1:30" ht="12.75">
      <c r="A36">
        <v>8</v>
      </c>
      <c r="B36" t="s">
        <v>215</v>
      </c>
      <c r="C36" s="138">
        <v>0</v>
      </c>
      <c r="D36" s="138">
        <v>0</v>
      </c>
      <c r="E36" s="138">
        <v>0</v>
      </c>
      <c r="G36" s="124"/>
      <c r="H36" s="124"/>
      <c r="I36" s="124"/>
      <c r="J36" s="124"/>
      <c r="K36" s="124"/>
      <c r="L36" s="124"/>
      <c r="M36" s="124"/>
      <c r="N36" s="124">
        <f>E36</f>
        <v>0</v>
      </c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7">
        <f t="shared" si="0"/>
        <v>0</v>
      </c>
    </row>
    <row r="37" spans="1:30" ht="12.75">
      <c r="A37">
        <v>8</v>
      </c>
      <c r="B37" t="s">
        <v>234</v>
      </c>
      <c r="C37" s="138">
        <v>0</v>
      </c>
      <c r="D37" s="138">
        <v>0</v>
      </c>
      <c r="E37" s="138">
        <v>0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 t="s">
        <v>1</v>
      </c>
      <c r="S37" s="124"/>
      <c r="T37" s="124"/>
      <c r="U37" s="124"/>
      <c r="V37" s="124"/>
      <c r="W37" s="124"/>
      <c r="X37" s="124"/>
      <c r="Y37" s="124"/>
      <c r="Z37" s="124"/>
      <c r="AA37" s="124">
        <f>E37</f>
        <v>0</v>
      </c>
      <c r="AB37" s="124"/>
      <c r="AC37" s="124"/>
      <c r="AD37" s="127">
        <f t="shared" si="0"/>
        <v>0</v>
      </c>
    </row>
    <row r="38" spans="1:30" ht="12.75">
      <c r="A38">
        <v>8</v>
      </c>
      <c r="B38" t="s">
        <v>172</v>
      </c>
      <c r="C38" s="138">
        <f>'[1]alt sq ft ncob'!C39</f>
        <v>8545.7</v>
      </c>
      <c r="D38" s="138">
        <f>'[1]alt sq ft ncob'!D39</f>
        <v>9596.6</v>
      </c>
      <c r="E38" s="138">
        <f>'[1]alt sq ft ncob'!E39</f>
        <v>10884.1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>
        <f>E38</f>
        <v>10884.1</v>
      </c>
      <c r="Z38" s="124"/>
      <c r="AA38" s="124"/>
      <c r="AB38" s="124"/>
      <c r="AC38" s="124"/>
      <c r="AD38" s="127">
        <f>SUM(G38:AC38)</f>
        <v>10884.1</v>
      </c>
    </row>
    <row r="39" spans="1:30" ht="12.75">
      <c r="A39">
        <v>8</v>
      </c>
      <c r="B39" t="s">
        <v>172</v>
      </c>
      <c r="C39" s="138">
        <f>'[1]alt sq ft ncob'!C37+'[1]alt sq ft ncob'!C38</f>
        <v>9287</v>
      </c>
      <c r="D39" s="138">
        <f>'[1]alt sq ft ncob'!D37+'[1]alt sq ft ncob'!D38</f>
        <v>10429.1</v>
      </c>
      <c r="E39" s="138">
        <f>'[1]alt sq ft ncob'!E37+'[1]alt sq ft ncob'!E38</f>
        <v>11828.3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>
        <f>E39</f>
        <v>11828.3</v>
      </c>
      <c r="AA39" s="124"/>
      <c r="AB39" s="124"/>
      <c r="AC39" s="124"/>
      <c r="AD39" s="127">
        <f>SUM(G39:AC39)</f>
        <v>11828.3</v>
      </c>
    </row>
    <row r="40" spans="1:30" ht="12.75">
      <c r="A40">
        <v>9</v>
      </c>
      <c r="B40" t="s">
        <v>86</v>
      </c>
      <c r="C40" s="138">
        <v>18816.2</v>
      </c>
      <c r="D40" s="138">
        <v>20221</v>
      </c>
      <c r="E40" s="138">
        <v>22906.2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>
        <f>E40</f>
        <v>22906.2</v>
      </c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7">
        <f t="shared" si="0"/>
        <v>22906.2</v>
      </c>
    </row>
    <row r="41" spans="1:30" ht="12.75">
      <c r="A41">
        <v>10</v>
      </c>
      <c r="B41" t="s">
        <v>86</v>
      </c>
      <c r="C41" s="138">
        <v>18719.9</v>
      </c>
      <c r="D41" s="138">
        <v>20130.6</v>
      </c>
      <c r="E41" s="138">
        <v>22803.8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>
        <f>E41</f>
        <v>22803.8</v>
      </c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7">
        <f t="shared" si="0"/>
        <v>22803.8</v>
      </c>
    </row>
    <row r="42" spans="1:30" ht="12.75">
      <c r="A42">
        <v>11</v>
      </c>
      <c r="B42" t="s">
        <v>86</v>
      </c>
      <c r="C42" s="138">
        <v>18719.9</v>
      </c>
      <c r="D42" s="138">
        <v>20130.6</v>
      </c>
      <c r="E42" s="138">
        <v>22803.8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>
        <f>E42</f>
        <v>22803.8</v>
      </c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7">
        <f t="shared" si="0"/>
        <v>22803.8</v>
      </c>
    </row>
    <row r="43" spans="1:30" ht="12.75">
      <c r="A43">
        <v>12</v>
      </c>
      <c r="B43" t="s">
        <v>86</v>
      </c>
      <c r="C43" s="138">
        <v>18719.9</v>
      </c>
      <c r="D43" s="138">
        <v>20130.6</v>
      </c>
      <c r="E43" s="138">
        <v>22803.8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>
        <f>E43</f>
        <v>22803.8</v>
      </c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7">
        <f t="shared" si="0"/>
        <v>22803.8</v>
      </c>
    </row>
    <row r="44" spans="1:30" ht="12.75">
      <c r="A44">
        <v>13</v>
      </c>
      <c r="B44" t="s">
        <v>86</v>
      </c>
      <c r="C44" s="138">
        <v>18203.1</v>
      </c>
      <c r="D44" s="138">
        <v>19613.8</v>
      </c>
      <c r="E44" s="138">
        <v>22218.4</v>
      </c>
      <c r="G44" s="124" t="s">
        <v>1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>
        <f>E44</f>
        <v>22218.4</v>
      </c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7">
        <f t="shared" si="0"/>
        <v>22218.4</v>
      </c>
    </row>
    <row r="45" spans="3:30" ht="12.75">
      <c r="C45" s="138"/>
      <c r="D45" s="138"/>
      <c r="E45" s="138"/>
      <c r="G45" s="124">
        <f>SUM(G8:G44)</f>
        <v>6439.3</v>
      </c>
      <c r="H45" s="124">
        <f aca="true" t="shared" si="1" ref="H45:AC45">SUM(H8:H44)</f>
        <v>11738.6</v>
      </c>
      <c r="I45" s="124">
        <f t="shared" si="1"/>
        <v>22907.6</v>
      </c>
      <c r="J45" s="124">
        <f>SUM(J8:J44)</f>
        <v>452.7166666666667</v>
      </c>
      <c r="K45" s="124">
        <f t="shared" si="1"/>
        <v>43984.5</v>
      </c>
      <c r="L45" s="124">
        <f>SUM(L8:L44)</f>
        <v>791.6166666666667</v>
      </c>
      <c r="M45" s="124">
        <f t="shared" si="1"/>
        <v>1823.1</v>
      </c>
      <c r="N45" s="124">
        <f t="shared" si="1"/>
        <v>0</v>
      </c>
      <c r="O45" s="124">
        <f>SUM(O8:O44)</f>
        <v>2346</v>
      </c>
      <c r="P45" s="124">
        <f t="shared" si="1"/>
        <v>45931.9</v>
      </c>
      <c r="Q45" s="124">
        <f>SUM(Q8:Q44)</f>
        <v>592.7166666666667</v>
      </c>
      <c r="R45" s="124">
        <f t="shared" si="1"/>
        <v>113536</v>
      </c>
      <c r="S45" s="124">
        <f>SUM(S8:S44)</f>
        <v>1191.95</v>
      </c>
      <c r="T45" s="124">
        <f t="shared" si="1"/>
        <v>791.2</v>
      </c>
      <c r="U45" s="124">
        <f t="shared" si="1"/>
        <v>4588.5</v>
      </c>
      <c r="V45" s="124">
        <f t="shared" si="1"/>
        <v>0</v>
      </c>
      <c r="W45" s="124">
        <f t="shared" si="1"/>
        <v>204.6</v>
      </c>
      <c r="X45" s="124">
        <f>SUM(X8:X44)</f>
        <v>1886.9</v>
      </c>
      <c r="Y45" s="124">
        <f>SUM(Y8:Y44)</f>
        <v>10884.1</v>
      </c>
      <c r="Z45" s="124">
        <f>SUM(Z8:Z44)</f>
        <v>11828.3</v>
      </c>
      <c r="AA45" s="124">
        <f t="shared" si="1"/>
        <v>0</v>
      </c>
      <c r="AB45" s="124">
        <f t="shared" si="1"/>
        <v>3522.8999999999996</v>
      </c>
      <c r="AC45" s="124">
        <f t="shared" si="1"/>
        <v>6386.9</v>
      </c>
      <c r="AD45" s="127"/>
    </row>
    <row r="46" spans="5:30" ht="12.75">
      <c r="E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7"/>
    </row>
    <row r="47" spans="1:30" ht="12.75">
      <c r="A47" s="139"/>
      <c r="B47" s="139"/>
      <c r="C47" s="139"/>
      <c r="D47" s="139"/>
      <c r="E47" s="140"/>
      <c r="F47" s="139"/>
      <c r="G47" s="141">
        <f>G45*$C$1</f>
        <v>135225.30000000002</v>
      </c>
      <c r="H47" s="141">
        <f>H45*$C$1</f>
        <v>246510.6</v>
      </c>
      <c r="I47" s="141">
        <f>I45*$C$1</f>
        <v>481059.6</v>
      </c>
      <c r="J47" s="141">
        <f>J45*$C$2</f>
        <v>9393.870833333334</v>
      </c>
      <c r="K47" s="141">
        <f>K45*$C$1</f>
        <v>923674.5</v>
      </c>
      <c r="L47" s="141">
        <f>L45*$C$2</f>
        <v>16426.045833333334</v>
      </c>
      <c r="M47" s="141">
        <f>M45*$C$1</f>
        <v>38285.1</v>
      </c>
      <c r="N47" s="141">
        <f>N45*$C$1</f>
        <v>0</v>
      </c>
      <c r="O47" s="141">
        <f>O45*$C$2</f>
        <v>48679.5</v>
      </c>
      <c r="P47" s="141">
        <f>P45*$C$1</f>
        <v>964569.9</v>
      </c>
      <c r="Q47" s="141">
        <f>Q45*$C$2</f>
        <v>12298.870833333334</v>
      </c>
      <c r="R47" s="141">
        <f>R45*$C$1</f>
        <v>2384256</v>
      </c>
      <c r="S47" s="141">
        <f>S45*$C$2</f>
        <v>24732.9625</v>
      </c>
      <c r="T47" s="141">
        <f aca="true" t="shared" si="2" ref="T47:Z47">T45*$C$1</f>
        <v>16615.2</v>
      </c>
      <c r="U47" s="141">
        <f t="shared" si="2"/>
        <v>96358.5</v>
      </c>
      <c r="V47" s="141">
        <f t="shared" si="2"/>
        <v>0</v>
      </c>
      <c r="W47" s="141">
        <f t="shared" si="2"/>
        <v>4296.599999999999</v>
      </c>
      <c r="X47" s="141">
        <f t="shared" si="2"/>
        <v>39624.9</v>
      </c>
      <c r="Y47" s="141">
        <f t="shared" si="2"/>
        <v>228566.1</v>
      </c>
      <c r="Z47" s="141">
        <f t="shared" si="2"/>
        <v>248394.3</v>
      </c>
      <c r="AA47" s="141">
        <f>AA45*$C$3</f>
        <v>0</v>
      </c>
      <c r="AB47" s="141">
        <f>AB24*C4+AB25*C5</f>
        <v>70458</v>
      </c>
      <c r="AC47" s="141">
        <f>AC45*C6</f>
        <v>0</v>
      </c>
      <c r="AD47" s="142">
        <f>SUM(G47:AC47)</f>
        <v>5989425.85</v>
      </c>
    </row>
    <row r="48" spans="1:30" ht="13.5" thickBot="1">
      <c r="A48" t="s">
        <v>235</v>
      </c>
      <c r="E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7"/>
    </row>
    <row r="49" spans="2:30" ht="12.75">
      <c r="B49" s="126">
        <v>-5780412</v>
      </c>
      <c r="C49" t="s">
        <v>236</v>
      </c>
      <c r="E49" s="124"/>
      <c r="G49" s="143" t="s">
        <v>237</v>
      </c>
      <c r="H49" s="14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7"/>
    </row>
    <row r="50" spans="2:30" ht="15">
      <c r="B50" s="145">
        <v>-82000</v>
      </c>
      <c r="C50" t="s">
        <v>238</v>
      </c>
      <c r="E50" s="124"/>
      <c r="G50" s="146" t="s">
        <v>239</v>
      </c>
      <c r="H50" s="147">
        <f>AD47</f>
        <v>5989425.85</v>
      </c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7"/>
    </row>
    <row r="51" spans="2:30" ht="12.75">
      <c r="B51" s="126">
        <f>SUM(B49:B50)</f>
        <v>-5862412</v>
      </c>
      <c r="C51" t="s">
        <v>186</v>
      </c>
      <c r="E51" s="124"/>
      <c r="G51" s="146"/>
      <c r="H51" s="148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7"/>
    </row>
    <row r="52" spans="2:30" ht="12.75">
      <c r="B52" s="149">
        <f>+AB24*C4</f>
        <v>26736</v>
      </c>
      <c r="C52" s="126" t="s">
        <v>240</v>
      </c>
      <c r="E52" s="124"/>
      <c r="G52" s="146" t="s">
        <v>241</v>
      </c>
      <c r="H52" s="147">
        <f>SUM(B52:B54)</f>
        <v>70458</v>
      </c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7"/>
    </row>
    <row r="53" spans="2:30" ht="15">
      <c r="B53" s="149">
        <f>+AB25*C5</f>
        <v>43722</v>
      </c>
      <c r="C53" s="126" t="s">
        <v>242</v>
      </c>
      <c r="E53" s="124"/>
      <c r="G53" s="146" t="s">
        <v>243</v>
      </c>
      <c r="H53" s="150">
        <f>SUM(B57:B68)</f>
        <v>5918967.850000001</v>
      </c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7"/>
    </row>
    <row r="54" spans="2:30" ht="15.75" thickBot="1">
      <c r="B54" s="145">
        <f>+AC47</f>
        <v>0</v>
      </c>
      <c r="C54" s="126" t="s">
        <v>244</v>
      </c>
      <c r="E54" s="124"/>
      <c r="G54" s="151" t="s">
        <v>239</v>
      </c>
      <c r="H54" s="152">
        <f>SUM(H52:H53)</f>
        <v>5989425.850000001</v>
      </c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7"/>
    </row>
    <row r="55" spans="2:30" ht="12.75">
      <c r="B55" s="149">
        <f>SUM(B51:B54)</f>
        <v>-5791954</v>
      </c>
      <c r="C55" s="126" t="s">
        <v>245</v>
      </c>
      <c r="E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7"/>
    </row>
    <row r="56" spans="2:30" ht="12.75">
      <c r="B56" s="149"/>
      <c r="C56" s="126"/>
      <c r="E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7"/>
    </row>
    <row r="57" spans="1:30" ht="12.75">
      <c r="A57" t="s">
        <v>246</v>
      </c>
      <c r="B57" s="149">
        <f>SUM(M47:O47)</f>
        <v>86964.6</v>
      </c>
      <c r="C57" s="126" t="s">
        <v>215</v>
      </c>
      <c r="E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7"/>
    </row>
    <row r="58" spans="2:30" ht="12.75">
      <c r="B58" s="149">
        <f>SUM(W47)</f>
        <v>4296.599999999999</v>
      </c>
      <c r="C58" s="126" t="s">
        <v>228</v>
      </c>
      <c r="E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7"/>
    </row>
    <row r="59" spans="2:30" ht="12.75">
      <c r="B59" s="149">
        <f>SUM(U47)</f>
        <v>96358.5</v>
      </c>
      <c r="C59" s="126" t="s">
        <v>247</v>
      </c>
      <c r="E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7"/>
    </row>
    <row r="60" spans="2:30" ht="12.75">
      <c r="B60" s="149">
        <f>SUM(T47)</f>
        <v>16615.2</v>
      </c>
      <c r="C60" s="126" t="s">
        <v>219</v>
      </c>
      <c r="E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7"/>
    </row>
    <row r="61" spans="2:30" ht="12.75">
      <c r="B61" s="149">
        <f>SUM(G47:J47)</f>
        <v>872189.3708333333</v>
      </c>
      <c r="C61" s="126" t="s">
        <v>211</v>
      </c>
      <c r="E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7"/>
    </row>
    <row r="62" spans="2:30" ht="12.75">
      <c r="B62" s="149">
        <f>SUM(P47:Q47)</f>
        <v>976868.7708333334</v>
      </c>
      <c r="C62" s="126" t="s">
        <v>167</v>
      </c>
      <c r="E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7"/>
    </row>
    <row r="63" spans="2:30" ht="12.75">
      <c r="B63" s="149">
        <f>SUM(K47:L47)</f>
        <v>940100.5458333333</v>
      </c>
      <c r="C63" s="126" t="s">
        <v>137</v>
      </c>
      <c r="E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7"/>
    </row>
    <row r="64" spans="1:30" ht="12.75">
      <c r="A64" s="149"/>
      <c r="B64" s="149">
        <f>SUM(R47:S47)</f>
        <v>2408988.9625</v>
      </c>
      <c r="C64" s="126" t="s">
        <v>86</v>
      </c>
      <c r="E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7"/>
    </row>
    <row r="65" spans="1:30" ht="12.75">
      <c r="A65" s="149"/>
      <c r="B65" s="149">
        <f>X47</f>
        <v>39624.9</v>
      </c>
      <c r="C65" s="126" t="s">
        <v>172</v>
      </c>
      <c r="E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7"/>
    </row>
    <row r="66" spans="1:30" ht="12.75">
      <c r="A66" s="149"/>
      <c r="B66" s="149">
        <f>Y47</f>
        <v>228566.1</v>
      </c>
      <c r="C66" s="126" t="s">
        <v>172</v>
      </c>
      <c r="E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7"/>
    </row>
    <row r="67" spans="1:30" ht="12.75">
      <c r="A67" s="149"/>
      <c r="B67" s="149">
        <f>Z47</f>
        <v>248394.3</v>
      </c>
      <c r="C67" s="126" t="s">
        <v>172</v>
      </c>
      <c r="E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7"/>
    </row>
    <row r="68" spans="1:30" ht="12.75">
      <c r="A68" s="149"/>
      <c r="B68" s="149">
        <f>SUM(V47)</f>
        <v>0</v>
      </c>
      <c r="C68" s="126" t="s">
        <v>173</v>
      </c>
      <c r="E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7"/>
    </row>
    <row r="69" spans="1:30" ht="15">
      <c r="A69" s="149"/>
      <c r="B69" s="145">
        <f>0</f>
        <v>0</v>
      </c>
      <c r="C69" s="126" t="s">
        <v>248</v>
      </c>
      <c r="E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7"/>
    </row>
    <row r="70" spans="1:30" ht="15">
      <c r="A70" s="153"/>
      <c r="B70" s="126">
        <f>SUM(B57:B69)</f>
        <v>5918967.850000001</v>
      </c>
      <c r="E70" s="124"/>
      <c r="G70" s="124"/>
      <c r="H70" s="124"/>
      <c r="I70" s="126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7"/>
    </row>
    <row r="71" spans="1:30" ht="12.75">
      <c r="A71" s="149"/>
      <c r="E71" s="124"/>
      <c r="G71" s="124"/>
      <c r="H71" s="124"/>
      <c r="I71" s="126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7"/>
    </row>
    <row r="72" spans="1:30" ht="12.75">
      <c r="A72" s="149"/>
      <c r="B72" s="149">
        <f>B55+B70</f>
        <v>127013.85000000056</v>
      </c>
      <c r="E72" s="124"/>
      <c r="G72" s="124"/>
      <c r="H72" s="124"/>
      <c r="I72" s="126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7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paperSize="17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Kendall Moore</cp:lastModifiedBy>
  <cp:lastPrinted>2008-11-04T23:02:28Z</cp:lastPrinted>
  <dcterms:created xsi:type="dcterms:W3CDTF">2008-10-30T22:28:55Z</dcterms:created>
  <dcterms:modified xsi:type="dcterms:W3CDTF">2008-11-19T19:02:01Z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-1274794370</vt:i4>
  </property>
  <property fmtid="{D5CDD505-2E9C-101B-9397-08002B2CF9AE}" pid="3" name="_EmailSubject">
    <vt:lpwstr>final draft with attachments on Chinook legislation  </vt:lpwstr>
  </property>
  <property fmtid="{D5CDD505-2E9C-101B-9397-08002B2CF9AE}" pid="4" name="_AuthorEmail">
    <vt:lpwstr>Kendall.Moore@kingcounty.gov</vt:lpwstr>
  </property>
  <property fmtid="{D5CDD505-2E9C-101B-9397-08002B2CF9AE}" pid="5" name="_AuthorEmailDisplayName">
    <vt:lpwstr>Moore, Kendall</vt:lpwstr>
  </property>
</Properties>
</file>