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4.xml" ContentType="application/vnd.openxmlformats-officedocument.spreadsheetml.pivotTable+xml"/>
  <Override PartName="/xl/pivotTables/pivotTable3.xml" ContentType="application/vnd.openxmlformats-officedocument.spreadsheetml.pivotTable+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66925"/>
  <bookViews>
    <workbookView xWindow="31140" yWindow="2340" windowWidth="21600" windowHeight="11385" firstSheet="6" activeTab="6"/>
  </bookViews>
  <sheets>
    <sheet name="Project Budget" sheetId="9" state="hidden" r:id="rId1"/>
    <sheet name="Final Network" sheetId="10" state="hidden" r:id="rId2"/>
    <sheet name="Phase 1 - Fall 2024 Budget" sheetId="1" state="hidden" r:id="rId3"/>
    <sheet name="Phase 2 - Fall 2025 Budget" sheetId="12" state="hidden" r:id="rId4"/>
    <sheet name="Costing Calculation" sheetId="3" state="hidden" r:id="rId5"/>
    <sheet name="Day counter" sheetId="5" state="hidden" r:id="rId6"/>
    <sheet name="Fiscal Note" sheetId="4" r:id="rId7"/>
  </sheets>
  <definedNames>
    <definedName name="_xlnm._FilterDatabase" localSheetId="5" hidden="1">'Day counter'!$A$1:$C$856</definedName>
    <definedName name="_xlnm._FilterDatabase" localSheetId="1" hidden="1">'Final Network'!$A$3:$K$13</definedName>
    <definedName name="_xlnm.Print_Area" localSheetId="0">'Project Budget'!$I$22:$L$41</definedName>
  </definedNames>
  <calcPr calcId="191028"/>
  <pivotCaches>
    <pivotCache cacheId="0" r:id="rId8"/>
    <pivotCache cacheId="4" r:id="rId9"/>
  </pivotCaches>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tc={04362C89-874F-47C6-84E6-7D3AE7BCF226}</author>
    <author>tc={14AFE425-0785-478C-A684-5B4C8959ED6A}</author>
  </authors>
  <commentList>
    <comment ref="K8" authorId="0">
      <text>
        <r>
          <t>[Threaded comment]
Your version of Excel allows you to read this threaded comment; however, any edits to it will get removed if the file is opened in a newer version of Excel. Learn more: https://go.microsoft.com/fwlink/?linkid=870924
Comment:
    Comparison of Hours and Trips - Power BI (powerbigov.us) 
Suspended hours between March 2020 and Fall 2023 for routes 3, 4, 8, 10, 11, 12, 49, 60</t>
        </r>
      </text>
    </comment>
    <comment ref="K15" authorId="1">
      <text>
        <r>
          <t xml:space="preserve">[Threaded comment]
Your version of Excel allows you to read this threaded comment; however, any edits to it will get removed if the file is opened in a newer version of Excel. Learn more: https://go.microsoft.com/fwlink/?linkid=870924
Comment:
    SDOT approved this increase on October 31st 2023. </t>
        </r>
      </text>
    </comment>
  </commentList>
</comments>
</file>

<file path=xl/comments2.xml><?xml version="1.0" encoding="utf-8"?>
<comments xmlns="http://schemas.openxmlformats.org/spreadsheetml/2006/main">
  <authors>
    <author>tc={14DB3BD2-37D3-4357-860B-DF995F0693FC}</author>
  </authors>
  <commentList>
    <comment ref="K7" authorId="0">
      <text>
        <r>
          <t>[Threaded comment]
Your version of Excel allows you to read this threaded comment; however, any edits to it will get removed if the file is opened in a newer version of Excel. Learn more: https://go.microsoft.com/fwlink/?linkid=870924
Comment:
    For weekdays, used Route 79 runtimes. For Sat/Sun, used runtimes from University Way NE/NE 43rd St to the Triangle minus one minute to estimate time between University Way NE/NE 43rd St and the new terminals near the Boat St layover</t>
        </r>
      </text>
    </comment>
  </commentList>
</comments>
</file>

<file path=xl/sharedStrings.xml><?xml version="1.0" encoding="utf-8"?>
<sst xmlns="http://schemas.openxmlformats.org/spreadsheetml/2006/main" count="313" uniqueCount="156">
  <si>
    <t>MSA  Project Budget</t>
  </si>
  <si>
    <t>Route</t>
  </si>
  <si>
    <r>
      <rPr>
        <b/>
        <sz val="11"/>
        <color rgb="FF000000"/>
        <rFont val="Calibri"/>
        <family val="2"/>
      </rPr>
      <t>Baseline Network
September 20</t>
    </r>
    <r>
      <rPr>
        <b/>
        <i/>
        <sz val="11"/>
        <color rgb="FF000000"/>
        <rFont val="Calibri"/>
        <family val="2"/>
      </rPr>
      <t xml:space="preserve">22
</t>
    </r>
    <r>
      <rPr>
        <sz val="11"/>
        <color rgb="FF000000"/>
        <rFont val="Calibri"/>
        <family val="2"/>
      </rPr>
      <t>(incl. STM)</t>
    </r>
  </si>
  <si>
    <t>Restored Hours</t>
  </si>
  <si>
    <r>
      <rPr>
        <b/>
        <sz val="11"/>
        <color rgb="FF000000"/>
        <rFont val="Calibri"/>
        <family val="2"/>
      </rPr>
      <t xml:space="preserve">STM Hours
</t>
    </r>
    <r>
      <rPr>
        <sz val="11"/>
        <color rgb="FF000000"/>
        <rFont val="Calibri"/>
        <family val="2"/>
      </rPr>
      <t>(Spring 2022 + Spring 2023)</t>
    </r>
  </si>
  <si>
    <t>Existing Fall 2023 Hours</t>
  </si>
  <si>
    <r>
      <t xml:space="preserve">Final MSA Network 
</t>
    </r>
    <r>
      <rPr>
        <sz val="11"/>
        <color rgb="FF000000"/>
        <rFont val="Calibri"/>
        <family val="2"/>
      </rPr>
      <t>(no STM)</t>
    </r>
  </si>
  <si>
    <t>STM Investments</t>
  </si>
  <si>
    <r>
      <t xml:space="preserve">Total Final MSA Network 
</t>
    </r>
    <r>
      <rPr>
        <sz val="11"/>
        <color theme="1"/>
        <rFont val="Calibri"/>
        <family val="2"/>
        <scheme val="minor"/>
      </rPr>
      <t>(incl. restored hours and STM)</t>
    </r>
  </si>
  <si>
    <t>3/4</t>
  </si>
  <si>
    <t xml:space="preserve">Baseline Network </t>
  </si>
  <si>
    <t>Baseline Network - Fall 2023*</t>
  </si>
  <si>
    <t>10/12</t>
  </si>
  <si>
    <t>Initial funding for G Line</t>
  </si>
  <si>
    <t>3/4 STM investment</t>
  </si>
  <si>
    <t>Suspended hours</t>
  </si>
  <si>
    <t>Baseline Network</t>
  </si>
  <si>
    <t xml:space="preserve">Final Network </t>
  </si>
  <si>
    <t xml:space="preserve">STM Increase in MSA Network </t>
  </si>
  <si>
    <t>STM Hours Removed from MSA Area*</t>
  </si>
  <si>
    <t>Final Network</t>
  </si>
  <si>
    <t>Weekday</t>
  </si>
  <si>
    <t>Saturday</t>
  </si>
  <si>
    <t>Sunday</t>
  </si>
  <si>
    <t>Vehicle Schedule Created
(by Scheduling)</t>
  </si>
  <si>
    <t>Final Network 
with Vehicle Schedules</t>
  </si>
  <si>
    <t>Proportional Contingency  Hrs</t>
  </si>
  <si>
    <t>Notes
(Describe Proposed Changes)</t>
  </si>
  <si>
    <t>Total Daily</t>
  </si>
  <si>
    <t>Annual</t>
  </si>
  <si>
    <t>YES</t>
  </si>
  <si>
    <t>Total (with STM)</t>
  </si>
  <si>
    <t>EXISTING HOURS (Fall 2023)</t>
  </si>
  <si>
    <t>Row Labels</t>
  </si>
  <si>
    <t>Weekday daily platform hours</t>
  </si>
  <si>
    <t>Sat Daily platform hours</t>
  </si>
  <si>
    <t>Sun Daily platform hours</t>
  </si>
  <si>
    <t>Weekday Annual platform hours</t>
  </si>
  <si>
    <t>Sat Annual platform hours</t>
  </si>
  <si>
    <t>Sun Annual platform hours</t>
  </si>
  <si>
    <t>Total Annual Hours</t>
  </si>
  <si>
    <t>Delta between baseline and proposed</t>
  </si>
  <si>
    <t>% Change in Hours</t>
  </si>
  <si>
    <t>Netplan Booking and Scenario</t>
  </si>
  <si>
    <t>Vehicle Schedule Created? (add contingency if "no")</t>
  </si>
  <si>
    <t>Notes</t>
  </si>
  <si>
    <t>Weekday Delta</t>
  </si>
  <si>
    <t>Saturday delta</t>
  </si>
  <si>
    <t>Sunday Delta</t>
  </si>
  <si>
    <t>Vehicle group</t>
  </si>
  <si>
    <t>40 ft Trolley</t>
  </si>
  <si>
    <t>40 Ft Trolley</t>
  </si>
  <si>
    <t>60 ft Hybrid</t>
  </si>
  <si>
    <t>40 ft Hybrid</t>
  </si>
  <si>
    <t>Currently Suspended</t>
  </si>
  <si>
    <t>-</t>
  </si>
  <si>
    <t>RR</t>
  </si>
  <si>
    <t>Total</t>
  </si>
  <si>
    <t>35 ft Hybrid</t>
  </si>
  <si>
    <t>60 ft Trolley</t>
  </si>
  <si>
    <t>DART</t>
  </si>
  <si>
    <t>Phase 1 Network</t>
  </si>
  <si>
    <t>weekday annual hours</t>
  </si>
  <si>
    <t>Sat</t>
  </si>
  <si>
    <t>Sun Annual hours</t>
  </si>
  <si>
    <t>Totals</t>
  </si>
  <si>
    <t>Sum of Weekday Delta</t>
  </si>
  <si>
    <t>Sum of Saturday delta</t>
  </si>
  <si>
    <t>Sum of Sunday Delta</t>
  </si>
  <si>
    <t>Phase 1 2024</t>
  </si>
  <si>
    <t>Phase 1 2025</t>
  </si>
  <si>
    <t>Phase 2 2025</t>
  </si>
  <si>
    <t>Phase 2 2026</t>
  </si>
  <si>
    <t xml:space="preserve">Phase 2 2027 </t>
  </si>
  <si>
    <t>2023/2024</t>
  </si>
  <si>
    <t>2025</t>
  </si>
  <si>
    <t>2025/2026</t>
  </si>
  <si>
    <t>2026/2027</t>
  </si>
  <si>
    <t>2027/2028</t>
  </si>
  <si>
    <t>2028/2029</t>
  </si>
  <si>
    <t>Grand Total</t>
  </si>
  <si>
    <t>Phase 2 Network</t>
  </si>
  <si>
    <t>40' Diesel/Hybrid</t>
  </si>
  <si>
    <t>60’ Diesel/Hybrid</t>
  </si>
  <si>
    <t>40' Trolley</t>
  </si>
  <si>
    <t>60’ Diesel/Hybrid, RapidRide</t>
  </si>
  <si>
    <t>Phase 2 2028</t>
  </si>
  <si>
    <t>40’  Battery</t>
  </si>
  <si>
    <t>Date</t>
  </si>
  <si>
    <t>Day Code</t>
  </si>
  <si>
    <t>Phase</t>
  </si>
  <si>
    <t>Day Type</t>
  </si>
  <si>
    <t>Phase 2 2029</t>
  </si>
  <si>
    <t>Sun</t>
  </si>
  <si>
    <t>Day check</t>
  </si>
  <si>
    <t xml:space="preserve">Ordinance/Motion:  </t>
  </si>
  <si>
    <t>Title:   Madison Street Area Public Transportation Service Changes for King County</t>
  </si>
  <si>
    <t>Affected Agency and/or Agencies:   Metro Transit Department</t>
  </si>
  <si>
    <t>Note Prepared By:  Yingying Huang Fernandes</t>
  </si>
  <si>
    <t>Date Prepared:</t>
  </si>
  <si>
    <t xml:space="preserve">Note Reviewed By:   </t>
  </si>
  <si>
    <t>Date Reviewed:</t>
  </si>
  <si>
    <t>Description of request:</t>
  </si>
  <si>
    <t>This fiscal note provides the financial impacts of the package of bus service changes being proposed by the Madison Street Area Bus Service Change Project, which includes the start of service for the RapidRide G Line.  Details of the individual route changes can be found in the supporting materials.  The service change includes services associated with the Madison Street Area Bus Service Change Project.  This fiscal note includes impacts for two network phases: 1) changes supporting the opening of RapidRide G Line (planned for Fall 2024), 2) changes supporting the completion of a segment of overhead contact system (OCS) along E Pine St. between 15th Ave E and Madison St  (planned for Fall 2025).</t>
  </si>
  <si>
    <t>Revenue to:</t>
  </si>
  <si>
    <t>Agency</t>
  </si>
  <si>
    <t>Fund Code</t>
  </si>
  <si>
    <t>Revenue Source</t>
  </si>
  <si>
    <t>Public Transportation</t>
  </si>
  <si>
    <t>Fare Revenue</t>
  </si>
  <si>
    <t xml:space="preserve">TOTAL </t>
  </si>
  <si>
    <t>Expenditures from:</t>
  </si>
  <si>
    <t>Department</t>
  </si>
  <si>
    <t>Metro Transit</t>
  </si>
  <si>
    <t>TOTAL</t>
  </si>
  <si>
    <t xml:space="preserve">Expenditures by Categories </t>
  </si>
  <si>
    <t>Salaries &amp; Benefits</t>
  </si>
  <si>
    <t>Supplies and Services</t>
  </si>
  <si>
    <t>Does this legislation require a budget supplemental?</t>
  </si>
  <si>
    <t>No</t>
  </si>
  <si>
    <t>Notes and Assumptions:</t>
  </si>
  <si>
    <t>Net Hours</t>
  </si>
  <si>
    <t>Hour changes in 2024, 2025, 2026, 2027,  and 2028 are based on daily hours, including 81 weekdays, 18 Saturdays, and 24 Sunday/holidays in 2024; 255 weekdays, 52 Saturdays, and 58 Sundays/holidays in 2025. 2026, 2027 and 2029; 256 weekdays, 52 Saturdays, and 58 Sundays/holidays in 2028.</t>
  </si>
  <si>
    <t>Hourly Rate</t>
  </si>
  <si>
    <t>See notes below.</t>
  </si>
  <si>
    <t>The average system wide fare per boarding is assumed to be $1.00 in 2023. 2024 to 2029 reflect assumptions for continued recovery of paying ridership and usage of pass accounts. The average system-wide fare paying ridership for additional service is estimated to be 20 rides per service hour.</t>
  </si>
  <si>
    <t>Notes:</t>
  </si>
  <si>
    <t xml:space="preserve">Operating rates- </t>
  </si>
  <si>
    <t>Rates are typically developed based on the adopted budget, and do not take into account any supplemental revisions that occur during a year. Such changes are reflected in the annual reconciliation.</t>
  </si>
  <si>
    <t>The Operating rates are developed through an allocation process that identifies costs in a variety of cost pools that are spread across services (e.g. Access, Vanpool, Link, Streetcar, Motorbus and Trolley) through application of variables such as hours, miles or FTEs.</t>
  </si>
  <si>
    <t xml:space="preserve">For the purposes of this Fiscal note, network changes are assumed to take place on the at the scheduled fall service change. Phase 1 changes will occur on 8/31/2024. Phase 2 changes are expected to occur on 9/6/2025. Actual start days of service for Phase 2 will conincide with the completion of a new segment of overhead contact system (OCS) along E Pine St. between 15th Ave E and Madison St. The completion date for this new OCS segment is subject to change. </t>
  </si>
  <si>
    <t>Consistent with Metro's Service Recovery Plan, this fiscal note assumes that all currently suspended service hours in the project area are fully restored into project area routes at the implementation of the proposed network changes. This fiscal note assumes fully restored service levels for comparison purposes only between service changes to illustrate impact of proposed changes.</t>
  </si>
  <si>
    <t xml:space="preserve">Revenues- </t>
  </si>
  <si>
    <t xml:space="preserve">The above farebox revenues are estimates only and are based on the system wide estimated rides per service hour and average system wide fare as noted above.  </t>
  </si>
  <si>
    <t>Future Biennial Estimates-</t>
  </si>
  <si>
    <t>Revenue and expenditure estimates for future biennia are calcuated as the sum of annual estimates for the respective outyears of each biennium.</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</si>
  <si>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</si>
  <si>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</si>
  <si>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</si>
  <si>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</si>
  <si>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</si>
  <si>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</si>
  <si>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Weekday daily platform hours (dec)</t>
  </si>
  <si>
    <t xml:space="preserve"> </t>
  </si>
  <si>
    <t>Change between Baseline and proposed for all non-G Line routes (not counting STM hours removal)</t>
  </si>
  <si>
    <t>Change between Baseline and proposed for all routes (not counting STM hours removal)</t>
  </si>
  <si>
    <t>Change between Baseline and proposed for all routes (counting STM hours removal)</t>
  </si>
  <si>
    <t>Change between Baseline and proposed for all non-G Line routes (counting STM hours removal)</t>
  </si>
  <si>
    <t xml:space="preserve">As of the fall 2023 service change, there are 4132 suspended service hours on Madison Street Area project area routes. All of these hours are proposed for reinvestment in the Madison Street Area service network, consistent with Metro's Service Recovery Plan. Restoration of suspended service hours will depend on Metro's operational capacity, which is evaluated prior to any service change as long as hours are suspended in the network. As such, implementation of all service hours proposed in the proposed Madison Street Area service network may be be delayed until sufficient operational capacity is available.  </t>
  </si>
  <si>
    <r>
      <t xml:space="preserve">2023/2024 FISCAL NOTE - </t>
    </r>
    <r>
      <rPr>
        <b/>
        <sz val="11"/>
        <color rgb="FFC00000"/>
        <rFont val="Univers"/>
        <family val="2"/>
      </rPr>
      <t>UPDATED 2/13/24</t>
    </r>
  </si>
  <si>
    <t>2024 difference from original:</t>
  </si>
  <si>
    <r>
      <t xml:space="preserve">60’ Diesel/Hybrid, RapidRide  </t>
    </r>
    <r>
      <rPr>
        <b/>
        <sz val="12"/>
        <rFont val="Arial"/>
        <family val="2"/>
      </rPr>
      <t xml:space="preserve"> G</t>
    </r>
  </si>
  <si>
    <t>NEW NET</t>
  </si>
  <si>
    <t>Diff from Old</t>
  </si>
  <si>
    <t>Net 2024</t>
  </si>
  <si>
    <t>Net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</si>
</sst>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0_);_(* \(#,##0\);_(* &quot;-&quot;??_);_(@_)"/>
    <numFmt numFmtId="165" formatCode="_(* #,##0.000_);_(* \(#,##0.000\);_(* &quot;-&quot;??_);_(@_)"/>
    <numFmt numFmtId="166" formatCode="0.0%"/>
    <numFmt numFmtId="167" formatCode="_(* #,##0.0_);_(* \(#,##0.0\);_(* &quot;-&quot;?_);_(@_)"/>
    <numFmt numFmtId="168" formatCode="0000"/>
    <numFmt numFmtId="169" formatCode="&quot;$&quot;#,##0.00"/>
    <numFmt numFmtId="170" formatCode="0.0"/>
    <numFmt numFmtId="171" formatCode="_([$$-409]* #,##0_);_([$$-409]* \(#,##0\);_([$$-409]* &quot;-&quot;??_);_(@_)"/>
    <numFmt numFmtId="172" formatCode="[h]&quot;h&quot;mm"/>
    <numFmt numFmtId="173" formatCode="&quot;$&quot;#,##0"/>
  </numFmts>
  <fonts count="29">
    <font>
      <sz val="11"/>
      <color theme="1"/>
      <name val="Calibri"/>
      <family val="2"/>
      <scheme val="minor"/>
    </font>
    <font>
      <sz val="10"/>
      <name val="Arial"/>
      <family val="2"/>
    </font>
    <font>
      <b/>
      <sz val="13"/>
      <color theme="3"/>
      <name val="Calibri"/>
      <family val="2"/>
      <scheme val="minor"/>
    </font>
    <font>
      <sz val="11"/>
      <color rgb="FF006100"/>
      <name val="Calibri"/>
      <family val="2"/>
      <scheme val="minor"/>
    </font>
    <font>
      <b/>
      <sz val="11"/>
      <color theme="1"/>
      <name val="Calibri"/>
      <family val="2"/>
      <scheme val="minor"/>
    </font>
    <font>
      <sz val="11"/>
      <color rgb="FF444444"/>
      <name val="Calibri"/>
      <family val="2"/>
    </font>
    <font>
      <b/>
      <sz val="11"/>
      <name val="Univers"/>
      <family val="2"/>
    </font>
    <font>
      <sz val="10.5"/>
      <name val="Univers"/>
      <family val="2"/>
    </font>
    <font>
      <sz val="8"/>
      <name val="Univers"/>
      <family val="2"/>
    </font>
    <font>
      <b/>
      <sz val="10.5"/>
      <name val="Univers"/>
      <family val="2"/>
    </font>
    <font>
      <b/>
      <sz val="10"/>
      <name val="Arial"/>
      <family val="2"/>
    </font>
    <font>
      <sz val="10"/>
      <name val="Univers"/>
      <family val="2"/>
    </font>
    <font>
      <sz val="8"/>
      <name val="Arial"/>
      <family val="2"/>
    </font>
    <font>
      <i/>
      <sz val="10.5"/>
      <name val="Univers"/>
      <family val="2"/>
    </font>
    <font>
      <sz val="11"/>
      <name val="Calibri"/>
      <family val="2"/>
      <scheme val="minor"/>
    </font>
    <font>
      <sz val="11"/>
      <color rgb="FF000000"/>
      <name val="Calibri"/>
      <family val="2"/>
      <scheme val="minor"/>
    </font>
    <font>
      <sz val="13"/>
      <color theme="3"/>
      <name val="Calibri"/>
      <family val="2"/>
      <scheme val="minor"/>
    </font>
    <font>
      <b/>
      <sz val="16"/>
      <color theme="1"/>
      <name val="Calibri"/>
      <family val="2"/>
      <scheme val="minor"/>
    </font>
    <font>
      <b/>
      <sz val="12"/>
      <color rgb="FF000000"/>
      <name val="Calibri"/>
      <family val="2"/>
      <scheme val="minor"/>
    </font>
    <font>
      <b/>
      <sz val="11"/>
      <color rgb="FF000000"/>
      <name val="Calibri"/>
      <family val="2"/>
    </font>
    <font>
      <sz val="11"/>
      <color rgb="FF000000"/>
      <name val="Calibri"/>
      <family val="2"/>
    </font>
    <font>
      <i/>
      <sz val="9"/>
      <color theme="1"/>
      <name val="Calibri"/>
      <family val="2"/>
      <scheme val="minor"/>
    </font>
    <font>
      <b/>
      <sz val="11"/>
      <color rgb="FF000000"/>
      <name val="Calibri"/>
      <family val="2"/>
      <scheme val="minor"/>
    </font>
    <font>
      <b/>
      <sz val="14"/>
      <color rgb="FF000000"/>
      <name val="Calibri"/>
      <family val="2"/>
      <scheme val="minor"/>
    </font>
    <font>
      <b/>
      <i/>
      <sz val="11"/>
      <color rgb="FF000000"/>
      <name val="Calibri"/>
      <family val="2"/>
    </font>
    <font>
      <b/>
      <sz val="10"/>
      <color rgb="FFC00000"/>
      <name val="Arial"/>
      <family val="2"/>
    </font>
    <font>
      <b/>
      <sz val="11"/>
      <color rgb="FFC00000"/>
      <name val="Univers"/>
      <family val="2"/>
    </font>
    <font>
      <b/>
      <sz val="12"/>
      <name val="Arial"/>
      <family val="2"/>
    </font>
    <font>
      <b/>
      <sz val="8"/>
      <name val="Calibri"/>
      <family val="2"/>
    </font>
  </fonts>
  <fills count="22">
    <fill>
      <patternFill/>
    </fill>
    <fill>
      <patternFill patternType="gray125"/>
    </fill>
    <fill>
      <patternFill patternType="solid">
        <fgColor rgb="FFC6EFCE"/>
        <bgColor indexed="64"/>
      </patternFill>
    </fill>
    <fill>
      <patternFill patternType="solid">
        <fgColor theme="0"/>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rgb="FFFFFFFF"/>
        <bgColor indexed="64"/>
      </patternFill>
    </fill>
    <fill>
      <patternFill patternType="solid">
        <fgColor theme="9" tint="0.39998000860214233"/>
        <bgColor indexed="64"/>
      </patternFill>
    </fill>
    <fill>
      <patternFill patternType="solid">
        <fgColor rgb="FFB1A0C7"/>
        <bgColor indexed="64"/>
      </patternFill>
    </fill>
    <fill>
      <patternFill patternType="solid">
        <fgColor rgb="FF8DB4E2"/>
        <bgColor indexed="64"/>
      </patternFill>
    </fill>
    <fill>
      <patternFill patternType="solid">
        <fgColor theme="9" tint="0.39998000860214233"/>
        <bgColor indexed="64"/>
      </patternFill>
    </fill>
    <fill>
      <patternFill patternType="solid">
        <fgColor rgb="FFFFC000"/>
        <bgColor indexed="64"/>
      </patternFill>
    </fill>
    <fill>
      <patternFill patternType="solid">
        <fgColor rgb="FFB1A0C7"/>
        <bgColor indexed="64"/>
      </patternFill>
    </fill>
    <fill>
      <patternFill patternType="solid">
        <fgColor rgb="FFF2F2F2"/>
        <bgColor indexed="64"/>
      </patternFill>
    </fill>
    <fill>
      <patternFill patternType="solid">
        <fgColor rgb="FFDFD8E8"/>
        <bgColor indexed="64"/>
      </patternFill>
    </fill>
    <fill>
      <patternFill patternType="solid">
        <fgColor theme="0" tint="-0.04997999966144562"/>
        <bgColor indexed="64"/>
      </patternFill>
    </fill>
    <fill>
      <patternFill patternType="solid">
        <fgColor rgb="FFC2D7F0"/>
        <bgColor indexed="64"/>
      </patternFill>
    </fill>
    <fill>
      <patternFill patternType="solid">
        <fgColor theme="7" tint="0.7999799847602844"/>
        <bgColor indexed="64"/>
      </patternFill>
    </fill>
    <fill>
      <patternFill patternType="solid">
        <fgColor rgb="FFFFFF00"/>
        <bgColor indexed="64"/>
      </patternFill>
    </fill>
    <fill>
      <patternFill patternType="solid">
        <fgColor theme="8" tint="0.5999900102615356"/>
        <bgColor indexed="64"/>
      </patternFill>
    </fill>
    <fill>
      <patternFill patternType="solid">
        <fgColor theme="9" tint="0.7999799847602844"/>
        <bgColor indexed="64"/>
      </patternFill>
    </fill>
    <fill>
      <patternFill patternType="solid">
        <fgColor rgb="FFBFBFBF"/>
        <bgColor indexed="64"/>
      </patternFill>
    </fill>
  </fills>
  <borders count="91">
    <border>
      <left/>
      <right/>
      <top/>
      <bottom/>
      <diagonal/>
    </border>
    <border>
      <left/>
      <right/>
      <top/>
      <bottom style="thick">
        <color theme="4" tint="0.49998000264167786"/>
      </bottom>
    </border>
    <border>
      <left/>
      <right/>
      <top style="thin">
        <color theme="4"/>
      </top>
      <bottom style="double">
        <color theme="4"/>
      </bottom>
    </border>
    <border>
      <left style="medium"/>
      <right/>
      <top style="medium"/>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right style="thin"/>
      <top style="thin"/>
      <bottom style="medium"/>
    </border>
    <border>
      <left style="medium"/>
      <right style="thin"/>
      <top style="medium"/>
      <bottom style="medium"/>
    </border>
    <border>
      <left style="thin"/>
      <right style="thin"/>
      <top style="medium"/>
      <bottom style="medium"/>
    </border>
    <border>
      <left style="thin"/>
      <right style="thin"/>
      <top/>
      <bottom style="thin"/>
    </border>
    <border>
      <left/>
      <right/>
      <top/>
      <bottom style="thin"/>
    </border>
    <border>
      <left/>
      <right/>
      <top style="medium"/>
      <bottom/>
    </border>
    <border>
      <left/>
      <right style="medium"/>
      <top style="medium"/>
      <bottom/>
    </border>
    <border>
      <left/>
      <right style="medium"/>
      <top/>
      <bottom/>
    </border>
    <border>
      <left style="thin"/>
      <right style="thin"/>
      <top style="thin"/>
      <bottom/>
    </border>
    <border>
      <left style="medium"/>
      <right/>
      <top/>
      <bottom/>
    </border>
    <border>
      <left style="thin">
        <color theme="0" tint="-0.3499799966812134"/>
      </left>
      <right style="thin">
        <color theme="0" tint="-0.3499799966812134"/>
      </right>
      <top style="medium"/>
      <bottom style="thin">
        <color theme="0" tint="-0.3499799966812134"/>
      </bottom>
    </border>
    <border>
      <left style="thin">
        <color theme="0" tint="-0.3499799966812134"/>
      </left>
      <right style="medium"/>
      <top style="medium"/>
      <bottom style="thin">
        <color theme="0" tint="-0.3499799966812134"/>
      </bottom>
    </border>
    <border>
      <left style="thin"/>
      <right/>
      <top/>
      <bottom/>
    </border>
    <border>
      <left style="medium"/>
      <right style="thin">
        <color theme="0" tint="-0.3499799966812134"/>
      </right>
      <top style="medium"/>
      <bottom style="thin">
        <color theme="0" tint="-0.3499799966812134"/>
      </bottom>
    </border>
    <border>
      <left style="medium"/>
      <right style="medium"/>
      <top style="medium"/>
      <bottom style="thin">
        <color theme="0" tint="-0.3499799966812134"/>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style="thin">
        <color rgb="FF000000"/>
      </top>
      <bottom style="medium">
        <color rgb="FF000000"/>
      </bottom>
    </border>
    <border>
      <left style="thin"/>
      <right style="thin">
        <color theme="0" tint="-0.3499799966812134"/>
      </right>
      <top style="medium"/>
      <bottom style="thin">
        <color theme="0" tint="-0.3499799966812134"/>
      </bottom>
    </border>
    <border>
      <left style="thin">
        <color theme="0" tint="-0.3499799966812134"/>
      </left>
      <right/>
      <top style="medium"/>
      <bottom style="thin">
        <color theme="0" tint="-0.3499799966812134"/>
      </bottom>
    </border>
    <border>
      <left style="medium"/>
      <right style="thin"/>
      <top style="thin"/>
      <bottom style="thin"/>
    </border>
    <border>
      <left style="medium"/>
      <right style="thin"/>
      <top style="thin"/>
      <bottom style="medium"/>
    </border>
    <border>
      <left style="medium"/>
      <right/>
      <top style="medium"/>
      <bottom style="medium"/>
    </border>
    <border>
      <left style="thin"/>
      <right style="medium"/>
      <top style="medium"/>
      <bottom style="medium"/>
    </border>
    <border>
      <left style="thin"/>
      <right style="medium"/>
      <top/>
      <bottom style="thin"/>
    </border>
    <border>
      <left style="medium"/>
      <right style="thin">
        <color rgb="FF000000"/>
      </right>
      <top/>
      <bottom style="thin">
        <color rgb="FF000000"/>
      </bottom>
    </border>
    <border>
      <left/>
      <right style="medium"/>
      <top/>
      <bottom style="thin">
        <color rgb="FF000000"/>
      </bottom>
    </border>
    <border>
      <left style="medium"/>
      <right style="thin">
        <color rgb="FF000000"/>
      </right>
      <top style="thin">
        <color rgb="FF000000"/>
      </top>
      <bottom style="thin">
        <color rgb="FF000000"/>
      </bottom>
    </border>
    <border>
      <left style="thin">
        <color rgb="FF000000"/>
      </left>
      <right/>
      <top style="medium"/>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medium"/>
      <top style="thin"/>
      <bottom style="thin"/>
    </border>
    <border>
      <left style="thin">
        <color rgb="FF000000"/>
      </left>
      <right/>
      <top/>
      <bottom style="thin">
        <color rgb="FF000000"/>
      </bottom>
    </border>
    <border>
      <left style="thin">
        <color rgb="FF000000"/>
      </left>
      <right style="medium">
        <color rgb="FF000000"/>
      </right>
      <top/>
      <bottom/>
    </border>
    <border>
      <left style="thin">
        <color rgb="FF000000"/>
      </left>
      <right style="thin">
        <color rgb="FF000000"/>
      </right>
      <top/>
      <bottom style="thin">
        <color rgb="FF000000"/>
      </bottom>
    </border>
    <border>
      <left/>
      <right/>
      <top style="medium"/>
      <bottom style="thin">
        <color rgb="FF000000"/>
      </bottom>
    </border>
    <border>
      <left style="thin"/>
      <right/>
      <top/>
      <bottom style="thin"/>
    </border>
    <border>
      <left style="thin"/>
      <right style="medium">
        <color rgb="FF000000"/>
      </right>
      <top/>
      <bottom style="thin"/>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thin"/>
      <right style="medium"/>
      <top style="thin"/>
      <bottom style="thin"/>
    </border>
    <border>
      <left style="medium"/>
      <right/>
      <top/>
      <bottom style="medium"/>
    </border>
    <border>
      <left/>
      <right/>
      <top/>
      <bottom style="medium"/>
    </border>
    <border>
      <left/>
      <right style="medium"/>
      <top/>
      <bottom style="medium"/>
    </border>
    <border>
      <left/>
      <right/>
      <top style="medium"/>
      <bottom style="medium"/>
    </border>
    <border>
      <left/>
      <right style="medium"/>
      <top style="medium"/>
      <bottom style="medium"/>
    </border>
    <border>
      <left style="medium"/>
      <right style="medium"/>
      <top/>
      <bottom/>
    </border>
    <border>
      <left style="medium"/>
      <right style="medium"/>
      <top/>
      <bottom style="medium"/>
    </border>
    <border>
      <left style="medium"/>
      <right style="medium"/>
      <top style="medium"/>
      <bottom style="medium"/>
    </border>
    <border>
      <left/>
      <right style="thin"/>
      <top/>
      <bottom/>
    </border>
    <border>
      <left style="thin"/>
      <right style="medium"/>
      <top style="thin"/>
      <bottom style="medium"/>
    </border>
    <border>
      <left style="thin"/>
      <right style="medium"/>
      <top style="thin"/>
      <bottom/>
    </border>
    <border>
      <left style="thin">
        <color rgb="FF000000"/>
      </left>
      <right style="medium">
        <color rgb="FF000000"/>
      </right>
      <top style="thin">
        <color rgb="FF000000"/>
      </top>
      <bottom style="medium">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medium"/>
      <right/>
      <top style="medium"/>
      <bottom style="medium">
        <color rgb="FF000000"/>
      </bottom>
    </border>
    <border>
      <left/>
      <right style="medium"/>
      <top style="medium"/>
      <bottom style="medium">
        <color rgb="FF000000"/>
      </bottom>
    </border>
    <border>
      <left style="thin">
        <color rgb="FF000000"/>
      </left>
      <right style="thin">
        <color rgb="FF000000"/>
      </right>
      <top style="medium"/>
      <bottom style="thin">
        <color rgb="FF000000"/>
      </bottom>
    </border>
    <border>
      <left style="thin">
        <color rgb="FF000000"/>
      </left>
      <right style="medium">
        <color rgb="FF000000"/>
      </right>
      <top style="medium"/>
      <bottom style="thin">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thin"/>
      <right/>
      <top style="thin"/>
      <bottom/>
    </border>
    <border>
      <left style="thin"/>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1" applyNumberFormat="0" applyFill="0" applyAlignment="0" applyProtection="0"/>
    <xf numFmtId="0" fontId="3" fillId="2" borderId="0" applyNumberFormat="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4" fillId="0" borderId="2" applyNumberFormat="0" applyFill="0" applyAlignment="0" applyProtection="0"/>
  </cellStyleXfs>
  <cellXfs count="263">
    <xf numFmtId="0" fontId="0" fillId="0" borderId="0" xfId="0"/>
    <xf numFmtId="0" fontId="0" fillId="0" borderId="0" xfId="0" applyAlignment="1">
      <alignment wrapText="1"/>
    </xf>
    <xf numFmtId="0" fontId="0" fillId="0" borderId="0" xfId="0" applyAlignment="1">
      <alignment horizontal="left"/>
    </xf>
    <xf numFmtId="164" fontId="0" fillId="0" borderId="0" xfId="18" applyNumberFormat="1" applyFont="1" applyBorder="1"/>
    <xf numFmtId="164" fontId="0" fillId="0" borderId="0" xfId="18" applyNumberFormat="1" applyFont="1" applyFill="1" applyBorder="1"/>
    <xf numFmtId="9" fontId="0" fillId="0" borderId="0" xfId="15" applyFont="1" applyFill="1" applyBorder="1"/>
    <xf numFmtId="1" fontId="0" fillId="0" borderId="0" xfId="0" applyNumberFormat="1"/>
    <xf numFmtId="0" fontId="0" fillId="0" borderId="3" xfId="0" applyBorder="1"/>
    <xf numFmtId="0" fontId="6" fillId="0" borderId="0" xfId="22" applyFont="1" applyAlignment="1">
      <alignment horizontal="centerContinuous"/>
      <protection/>
    </xf>
    <xf numFmtId="0" fontId="7" fillId="0" borderId="0" xfId="22" applyFont="1" applyAlignment="1">
      <alignment horizontal="centerContinuous"/>
      <protection/>
    </xf>
    <xf numFmtId="0" fontId="1" fillId="0" borderId="0" xfId="22">
      <alignment/>
      <protection/>
    </xf>
    <xf numFmtId="0" fontId="8" fillId="0" borderId="0" xfId="22" applyFont="1" applyAlignment="1">
      <alignment horizontal="left"/>
      <protection/>
    </xf>
    <xf numFmtId="0" fontId="1" fillId="0" borderId="0" xfId="22" applyAlignment="1">
      <alignment horizontal="centerContinuous"/>
      <protection/>
    </xf>
    <xf numFmtId="0" fontId="7" fillId="0" borderId="4" xfId="22" applyFont="1" applyBorder="1" applyAlignment="1">
      <alignment horizontal="left"/>
      <protection/>
    </xf>
    <xf numFmtId="0" fontId="7" fillId="0" borderId="5" xfId="22" applyFont="1" applyBorder="1" applyAlignment="1">
      <alignment horizontal="left"/>
      <protection/>
    </xf>
    <xf numFmtId="0" fontId="7" fillId="0" borderId="5" xfId="22" applyFont="1" applyBorder="1" applyAlignment="1">
      <alignment horizontal="centerContinuous"/>
      <protection/>
    </xf>
    <xf numFmtId="0" fontId="7" fillId="0" borderId="6" xfId="22" applyFont="1" applyBorder="1" applyAlignment="1">
      <alignment horizontal="centerContinuous"/>
      <protection/>
    </xf>
    <xf numFmtId="0" fontId="7" fillId="0" borderId="7" xfId="22" applyFont="1" applyBorder="1" applyAlignment="1">
      <alignment horizontal="left"/>
      <protection/>
    </xf>
    <xf numFmtId="0" fontId="7" fillId="0" borderId="0" xfId="22" applyFont="1" applyAlignment="1">
      <alignment horizontal="left"/>
      <protection/>
    </xf>
    <xf numFmtId="0" fontId="7" fillId="0" borderId="8" xfId="22" applyFont="1" applyBorder="1" applyAlignment="1">
      <alignment horizontal="centerContinuous"/>
      <protection/>
    </xf>
    <xf numFmtId="0" fontId="7" fillId="0" borderId="7" xfId="22" applyFont="1" applyBorder="1">
      <alignment/>
      <protection/>
    </xf>
    <xf numFmtId="0" fontId="7" fillId="0" borderId="0" xfId="22" applyFont="1">
      <alignment/>
      <protection/>
    </xf>
    <xf numFmtId="0" fontId="7" fillId="0" borderId="8" xfId="22" applyFont="1" applyBorder="1">
      <alignment/>
      <protection/>
    </xf>
    <xf numFmtId="14" fontId="7" fillId="0" borderId="0" xfId="22" applyNumberFormat="1" applyFont="1">
      <alignment/>
      <protection/>
    </xf>
    <xf numFmtId="0" fontId="7" fillId="0" borderId="9" xfId="22" applyFont="1" applyBorder="1">
      <alignment/>
      <protection/>
    </xf>
    <xf numFmtId="14" fontId="7" fillId="0" borderId="10" xfId="22" applyNumberFormat="1" applyFont="1" applyBorder="1">
      <alignment/>
      <protection/>
    </xf>
    <xf numFmtId="0" fontId="7" fillId="0" borderId="10" xfId="22" applyFont="1" applyBorder="1">
      <alignment/>
      <protection/>
    </xf>
    <xf numFmtId="0" fontId="7" fillId="0" borderId="11" xfId="22" applyFont="1" applyBorder="1">
      <alignment/>
      <protection/>
    </xf>
    <xf numFmtId="0" fontId="9" fillId="0" borderId="0" xfId="22" applyFont="1">
      <alignment/>
      <protection/>
    </xf>
    <xf numFmtId="0" fontId="7" fillId="3" borderId="0" xfId="22" applyFont="1" applyFill="1" applyAlignment="1">
      <alignment horizontal="left" wrapText="1"/>
      <protection/>
    </xf>
    <xf numFmtId="0" fontId="7" fillId="0" borderId="12" xfId="22" applyFont="1" applyBorder="1">
      <alignment/>
      <protection/>
    </xf>
    <xf numFmtId="0" fontId="7" fillId="0" borderId="13" xfId="22" applyFont="1" applyBorder="1">
      <alignment/>
      <protection/>
    </xf>
    <xf numFmtId="0" fontId="7" fillId="0" borderId="14" xfId="22" applyFont="1" applyBorder="1" applyAlignment="1">
      <alignment horizontal="center" wrapText="1"/>
      <protection/>
    </xf>
    <xf numFmtId="0" fontId="7" fillId="3" borderId="15" xfId="22" applyFont="1" applyFill="1" applyBorder="1" applyAlignment="1">
      <alignment horizontal="center" wrapText="1"/>
      <protection/>
    </xf>
    <xf numFmtId="0" fontId="7" fillId="0" borderId="16" xfId="22" applyFont="1" applyBorder="1">
      <alignment/>
      <protection/>
    </xf>
    <xf numFmtId="0" fontId="7" fillId="0" borderId="17" xfId="22" applyFont="1" applyBorder="1">
      <alignment/>
      <protection/>
    </xf>
    <xf numFmtId="0" fontId="7" fillId="0" borderId="18" xfId="22" applyFont="1" applyBorder="1" applyAlignment="1">
      <alignment horizontal="center" wrapText="1"/>
      <protection/>
    </xf>
    <xf numFmtId="168" fontId="7" fillId="0" borderId="18" xfId="22" applyNumberFormat="1" applyFont="1" applyBorder="1" applyAlignment="1">
      <alignment horizontal="center" wrapText="1"/>
      <protection/>
    </xf>
    <xf numFmtId="0" fontId="7" fillId="0" borderId="19" xfId="22" applyFont="1" applyBorder="1">
      <alignment/>
      <protection/>
    </xf>
    <xf numFmtId="0" fontId="7" fillId="0" borderId="20" xfId="22" applyFont="1" applyBorder="1">
      <alignment/>
      <protection/>
    </xf>
    <xf numFmtId="0" fontId="7" fillId="0" borderId="21" xfId="22" applyFont="1" applyBorder="1" applyAlignment="1">
      <alignment horizontal="center" wrapText="1"/>
      <protection/>
    </xf>
    <xf numFmtId="0" fontId="7" fillId="0" borderId="0" xfId="22" applyFont="1" applyAlignment="1">
      <alignment horizontal="center"/>
      <protection/>
    </xf>
    <xf numFmtId="3" fontId="7" fillId="0" borderId="0" xfId="22" applyNumberFormat="1" applyFont="1">
      <alignment/>
      <protection/>
    </xf>
    <xf numFmtId="0" fontId="7" fillId="0" borderId="14" xfId="22" applyFont="1" applyBorder="1" applyAlignment="1">
      <alignment horizontal="center"/>
      <protection/>
    </xf>
    <xf numFmtId="0" fontId="7" fillId="0" borderId="15" xfId="22" applyFont="1" applyBorder="1" applyAlignment="1">
      <alignment horizontal="center" wrapText="1"/>
      <protection/>
    </xf>
    <xf numFmtId="0" fontId="7" fillId="0" borderId="22" xfId="22" applyFont="1" applyBorder="1">
      <alignment/>
      <protection/>
    </xf>
    <xf numFmtId="3" fontId="1" fillId="0" borderId="0" xfId="22" applyNumberFormat="1">
      <alignment/>
      <protection/>
    </xf>
    <xf numFmtId="0" fontId="7" fillId="0" borderId="13" xfId="22" applyFont="1" applyBorder="1" applyAlignment="1">
      <alignment horizontal="center"/>
      <protection/>
    </xf>
    <xf numFmtId="0" fontId="7" fillId="0" borderId="23" xfId="22" applyFont="1" applyBorder="1" applyAlignment="1">
      <alignment horizontal="center"/>
      <protection/>
    </xf>
    <xf numFmtId="0" fontId="7" fillId="0" borderId="17" xfId="22" applyFont="1" applyBorder="1" applyAlignment="1">
      <alignment horizontal="center"/>
      <protection/>
    </xf>
    <xf numFmtId="0" fontId="7" fillId="0" borderId="22" xfId="22" applyFont="1" applyBorder="1" applyAlignment="1">
      <alignment horizontal="center"/>
      <protection/>
    </xf>
    <xf numFmtId="0" fontId="7" fillId="0" borderId="24" xfId="22" applyFont="1" applyBorder="1">
      <alignment/>
      <protection/>
    </xf>
    <xf numFmtId="0" fontId="7" fillId="0" borderId="25" xfId="22" applyFont="1" applyBorder="1">
      <alignment/>
      <protection/>
    </xf>
    <xf numFmtId="0" fontId="7" fillId="0" borderId="26" xfId="22" applyFont="1" applyBorder="1">
      <alignment/>
      <protection/>
    </xf>
    <xf numFmtId="0" fontId="7" fillId="0" borderId="27" xfId="22" applyFont="1" applyBorder="1">
      <alignment/>
      <protection/>
    </xf>
    <xf numFmtId="3" fontId="9" fillId="0" borderId="0" xfId="22" applyNumberFormat="1" applyFont="1">
      <alignment/>
      <protection/>
    </xf>
    <xf numFmtId="0" fontId="10" fillId="0" borderId="0" xfId="24" applyFont="1" applyAlignment="1">
      <alignment horizontal="left" vertical="center" wrapText="1"/>
      <protection/>
    </xf>
    <xf numFmtId="0" fontId="11" fillId="0" borderId="28" xfId="22" applyFont="1" applyBorder="1" applyAlignment="1">
      <alignment horizontal="center" wrapText="1"/>
      <protection/>
    </xf>
    <xf numFmtId="0" fontId="11" fillId="0" borderId="29" xfId="22" applyFont="1" applyBorder="1" applyAlignment="1">
      <alignment horizontal="center"/>
      <protection/>
    </xf>
    <xf numFmtId="0" fontId="12" fillId="0" borderId="18" xfId="24" applyFont="1" applyBorder="1" applyAlignment="1">
      <alignment horizontal="left" vertical="center" wrapText="1"/>
      <protection/>
    </xf>
    <xf numFmtId="3" fontId="12" fillId="0" borderId="30" xfId="25" applyNumberFormat="1" applyFont="1" applyBorder="1" applyAlignment="1">
      <alignment horizontal="center" vertical="center" wrapText="1"/>
      <protection/>
    </xf>
    <xf numFmtId="3" fontId="12" fillId="0" borderId="18" xfId="25" applyNumberFormat="1" applyFont="1" applyBorder="1" applyAlignment="1">
      <alignment horizontal="center" vertical="center" wrapText="1"/>
      <protection/>
    </xf>
    <xf numFmtId="169" fontId="12" fillId="0" borderId="18" xfId="25" applyNumberFormat="1" applyFont="1" applyBorder="1" applyAlignment="1">
      <alignment horizontal="center" vertical="center"/>
      <protection/>
    </xf>
    <xf numFmtId="0" fontId="1" fillId="0" borderId="17" xfId="24" applyBorder="1" applyAlignment="1">
      <alignment vertical="center" wrapText="1"/>
      <protection/>
    </xf>
    <xf numFmtId="169" fontId="12" fillId="0" borderId="18" xfId="24" applyNumberFormat="1" applyFont="1" applyBorder="1" applyAlignment="1">
      <alignment horizontal="center" vertical="center" wrapText="1"/>
      <protection/>
    </xf>
    <xf numFmtId="3" fontId="1" fillId="0" borderId="0" xfId="22" applyNumberFormat="1" applyAlignment="1">
      <alignment vertical="top"/>
      <protection/>
    </xf>
    <xf numFmtId="0" fontId="10" fillId="0" borderId="0" xfId="22" applyFont="1">
      <alignment/>
      <protection/>
    </xf>
    <xf numFmtId="0" fontId="7" fillId="0" borderId="31" xfId="22" applyFont="1" applyBorder="1">
      <alignment/>
      <protection/>
    </xf>
    <xf numFmtId="3" fontId="9" fillId="0" borderId="31" xfId="22" applyNumberFormat="1" applyFont="1" applyBorder="1">
      <alignment/>
      <protection/>
    </xf>
    <xf numFmtId="14" fontId="0" fillId="0" borderId="0" xfId="0" applyNumberFormat="1"/>
    <xf numFmtId="170" fontId="0" fillId="0" borderId="0" xfId="0" applyNumberFormat="1"/>
    <xf numFmtId="0" fontId="0" fillId="0" borderId="32" xfId="0" applyBorder="1"/>
    <xf numFmtId="0" fontId="0" fillId="0" borderId="33" xfId="0" applyBorder="1"/>
    <xf numFmtId="0" fontId="0" fillId="0" borderId="34" xfId="0" applyBorder="1"/>
    <xf numFmtId="169" fontId="0" fillId="0" borderId="0" xfId="0" applyNumberFormat="1"/>
    <xf numFmtId="164" fontId="4" fillId="0" borderId="0" xfId="18" applyNumberFormat="1" applyFont="1" applyFill="1" applyBorder="1"/>
    <xf numFmtId="171" fontId="7" fillId="0" borderId="18" xfId="22" applyNumberFormat="1" applyFont="1" applyBorder="1">
      <alignment/>
      <protection/>
    </xf>
    <xf numFmtId="171" fontId="7" fillId="0" borderId="18" xfId="22" applyNumberFormat="1" applyFont="1" applyBorder="1" applyAlignment="1">
      <alignment horizontal="right"/>
      <protection/>
    </xf>
    <xf numFmtId="171" fontId="9" fillId="0" borderId="21" xfId="22" applyNumberFormat="1" applyFont="1" applyBorder="1">
      <alignment/>
      <protection/>
    </xf>
    <xf numFmtId="171" fontId="7" fillId="0" borderId="18" xfId="22" applyNumberFormat="1" applyFont="1" applyBorder="1" applyAlignment="1">
      <alignment wrapText="1"/>
      <protection/>
    </xf>
    <xf numFmtId="171" fontId="7" fillId="0" borderId="18" xfId="23" applyNumberFormat="1" applyFont="1" applyBorder="1"/>
    <xf numFmtId="171" fontId="7" fillId="0" borderId="35" xfId="22" applyNumberFormat="1" applyFont="1" applyBorder="1">
      <alignment/>
      <protection/>
    </xf>
    <xf numFmtId="43" fontId="0" fillId="0" borderId="36" xfId="18" applyFont="1" applyFill="1" applyBorder="1"/>
    <xf numFmtId="167" fontId="0" fillId="0" borderId="0" xfId="0" applyNumberFormat="1"/>
    <xf numFmtId="164" fontId="0" fillId="0" borderId="0" xfId="0" applyNumberFormat="1"/>
    <xf numFmtId="164" fontId="0" fillId="0" borderId="0" xfId="0" applyNumberFormat="1" applyAlignment="1">
      <alignment wrapText="1"/>
    </xf>
    <xf numFmtId="43" fontId="0" fillId="0" borderId="0" xfId="0" applyNumberFormat="1"/>
    <xf numFmtId="166" fontId="0" fillId="0" borderId="0" xfId="0" applyNumberFormat="1"/>
    <xf numFmtId="9" fontId="0" fillId="0" borderId="0" xfId="0" applyNumberFormat="1"/>
    <xf numFmtId="0" fontId="4" fillId="0" borderId="0" xfId="0" applyFont="1" applyAlignment="1">
      <alignment horizontal="right"/>
    </xf>
    <xf numFmtId="3" fontId="0" fillId="0" borderId="0" xfId="0" applyNumberFormat="1"/>
    <xf numFmtId="165" fontId="0" fillId="0" borderId="0" xfId="0" applyNumberFormat="1"/>
    <xf numFmtId="164" fontId="4" fillId="0" borderId="0" xfId="0" applyNumberFormat="1" applyFont="1"/>
    <xf numFmtId="0" fontId="4" fillId="0" borderId="0" xfId="0" applyFont="1" applyAlignment="1">
      <alignment wrapText="1"/>
    </xf>
    <xf numFmtId="0" fontId="4" fillId="0" borderId="0" xfId="0" applyFont="1"/>
    <xf numFmtId="164" fontId="0" fillId="0" borderId="36" xfId="0" applyNumberFormat="1" applyBorder="1"/>
    <xf numFmtId="164" fontId="0" fillId="0" borderId="34" xfId="18" applyNumberFormat="1" applyFont="1" applyFill="1" applyBorder="1"/>
    <xf numFmtId="0" fontId="17" fillId="0" borderId="0" xfId="0" applyFont="1"/>
    <xf numFmtId="0" fontId="4" fillId="4" borderId="37" xfId="0" applyFont="1" applyFill="1" applyBorder="1" applyAlignment="1">
      <alignment wrapText="1"/>
    </xf>
    <xf numFmtId="0" fontId="4" fillId="4" borderId="38" xfId="0" applyFont="1" applyFill="1" applyBorder="1" applyAlignment="1">
      <alignment wrapText="1"/>
    </xf>
    <xf numFmtId="164" fontId="0" fillId="0" borderId="39" xfId="18" applyNumberFormat="1" applyFont="1" applyFill="1" applyBorder="1"/>
    <xf numFmtId="0" fontId="4" fillId="4" borderId="40" xfId="0" applyFont="1" applyFill="1" applyBorder="1" applyAlignment="1">
      <alignment wrapText="1"/>
    </xf>
    <xf numFmtId="0" fontId="4" fillId="5" borderId="41" xfId="0" applyFont="1" applyFill="1" applyBorder="1" applyAlignment="1">
      <alignment wrapText="1"/>
    </xf>
    <xf numFmtId="0" fontId="5" fillId="0" borderId="0" xfId="0" applyFont="1"/>
    <xf numFmtId="0" fontId="0" fillId="0" borderId="0" xfId="0" applyAlignment="1">
      <alignment horizontal="right"/>
    </xf>
    <xf numFmtId="0" fontId="14" fillId="0" borderId="0" xfId="0" applyFont="1"/>
    <xf numFmtId="0" fontId="15" fillId="0" borderId="42" xfId="0" applyFont="1" applyBorder="1"/>
    <xf numFmtId="3" fontId="15" fillId="6" borderId="43" xfId="18" applyNumberFormat="1" applyFont="1" applyFill="1" applyBorder="1" applyAlignment="1">
      <alignment horizontal="right" vertical="center"/>
    </xf>
    <xf numFmtId="0" fontId="15" fillId="0" borderId="44" xfId="0" applyFont="1" applyBorder="1"/>
    <xf numFmtId="3" fontId="4" fillId="0" borderId="0" xfId="0" applyNumberFormat="1" applyFont="1" applyAlignment="1">
      <alignment horizontal="right"/>
    </xf>
    <xf numFmtId="0" fontId="21" fillId="0" borderId="0" xfId="0" applyFont="1"/>
    <xf numFmtId="0" fontId="4" fillId="7" borderId="40" xfId="0" applyFont="1" applyFill="1" applyBorder="1" applyAlignment="1">
      <alignment wrapText="1"/>
    </xf>
    <xf numFmtId="0" fontId="4" fillId="7" borderId="37" xfId="0" applyFont="1" applyFill="1" applyBorder="1" applyAlignment="1">
      <alignment wrapText="1"/>
    </xf>
    <xf numFmtId="0" fontId="4" fillId="7" borderId="38" xfId="0" applyFont="1" applyFill="1" applyBorder="1" applyAlignment="1">
      <alignment wrapText="1"/>
    </xf>
    <xf numFmtId="0" fontId="4" fillId="8" borderId="45" xfId="21" applyFont="1" applyFill="1" applyBorder="1" applyAlignment="1">
      <alignment wrapText="1"/>
    </xf>
    <xf numFmtId="0" fontId="4" fillId="8" borderId="37" xfId="21" applyFont="1" applyFill="1" applyBorder="1" applyAlignment="1">
      <alignment wrapText="1"/>
    </xf>
    <xf numFmtId="0" fontId="4" fillId="8" borderId="46" xfId="21" applyFont="1" applyFill="1" applyBorder="1" applyAlignment="1">
      <alignment wrapText="1"/>
    </xf>
    <xf numFmtId="0" fontId="0" fillId="0" borderId="47" xfId="0" applyBorder="1" applyAlignment="1">
      <alignment horizontal="center" vertical="center"/>
    </xf>
    <xf numFmtId="0" fontId="0" fillId="0" borderId="48" xfId="0" applyBorder="1"/>
    <xf numFmtId="0" fontId="18" fillId="0" borderId="49" xfId="0" applyFont="1" applyBorder="1" applyAlignment="1">
      <alignment horizontal="center" vertical="center" wrapText="1"/>
    </xf>
    <xf numFmtId="3" fontId="19" fillId="9" borderId="29" xfId="0" applyNumberFormat="1" applyFont="1" applyFill="1" applyBorder="1" applyAlignment="1">
      <alignment horizontal="center" vertical="center" wrapText="1"/>
    </xf>
    <xf numFmtId="3" fontId="19" fillId="10" borderId="29" xfId="0" applyNumberFormat="1" applyFont="1" applyFill="1" applyBorder="1" applyAlignment="1">
      <alignment horizontal="center" vertical="center" wrapText="1"/>
    </xf>
    <xf numFmtId="3" fontId="19" fillId="8" borderId="29" xfId="0" applyNumberFormat="1" applyFont="1" applyFill="1" applyBorder="1" applyAlignment="1">
      <alignment horizontal="center" vertical="center" wrapText="1"/>
    </xf>
    <xf numFmtId="3" fontId="4" fillId="8" borderId="29" xfId="0" applyNumberFormat="1" applyFont="1" applyFill="1" applyBorder="1" applyAlignment="1">
      <alignment horizontal="center" vertical="center" wrapText="1"/>
    </xf>
    <xf numFmtId="3" fontId="4" fillId="8" borderId="50" xfId="0" applyNumberFormat="1" applyFont="1" applyFill="1" applyBorder="1" applyAlignment="1">
      <alignment horizontal="center" vertical="center" wrapText="1"/>
    </xf>
    <xf numFmtId="3" fontId="0" fillId="0" borderId="51" xfId="18" applyNumberFormat="1" applyFont="1" applyBorder="1" applyAlignment="1">
      <alignment vertical="center"/>
    </xf>
    <xf numFmtId="3" fontId="0" fillId="0" borderId="18" xfId="18" applyNumberFormat="1" applyFont="1" applyBorder="1" applyAlignment="1">
      <alignment vertical="center"/>
    </xf>
    <xf numFmtId="164" fontId="22" fillId="11" borderId="21" xfId="0" applyNumberFormat="1" applyFont="1" applyFill="1" applyBorder="1"/>
    <xf numFmtId="0" fontId="15" fillId="0" borderId="52" xfId="0" applyFont="1" applyBorder="1"/>
    <xf numFmtId="3" fontId="15" fillId="6" borderId="53" xfId="18" applyNumberFormat="1" applyFont="1" applyFill="1" applyBorder="1" applyAlignment="1">
      <alignment horizontal="right" vertical="center"/>
    </xf>
    <xf numFmtId="0" fontId="15" fillId="0" borderId="54" xfId="0" applyFont="1" applyBorder="1"/>
    <xf numFmtId="0" fontId="4" fillId="12" borderId="37" xfId="0" applyFont="1" applyFill="1" applyBorder="1" applyAlignment="1">
      <alignment wrapText="1"/>
    </xf>
    <xf numFmtId="3" fontId="4" fillId="8" borderId="55" xfId="0" applyNumberFormat="1" applyFont="1" applyFill="1" applyBorder="1" applyAlignment="1">
      <alignment horizontal="center" vertical="center" wrapText="1"/>
    </xf>
    <xf numFmtId="3" fontId="4" fillId="13" borderId="56" xfId="0" applyNumberFormat="1" applyFont="1" applyFill="1" applyBorder="1" applyAlignment="1">
      <alignment horizontal="center" vertical="center"/>
    </xf>
    <xf numFmtId="3" fontId="4" fillId="13" borderId="57" xfId="0" applyNumberFormat="1" applyFont="1" applyFill="1" applyBorder="1" applyAlignment="1">
      <alignment horizontal="center" vertical="center"/>
    </xf>
    <xf numFmtId="3" fontId="4" fillId="14" borderId="31" xfId="0" applyNumberFormat="1" applyFont="1" applyFill="1" applyBorder="1" applyAlignment="1">
      <alignment horizontal="center" vertical="center"/>
    </xf>
    <xf numFmtId="172" fontId="0" fillId="0" borderId="56" xfId="0" applyNumberFormat="1" applyBorder="1"/>
    <xf numFmtId="164" fontId="0" fillId="0" borderId="57" xfId="18" applyNumberFormat="1" applyFont="1" applyFill="1" applyBorder="1"/>
    <xf numFmtId="3" fontId="0" fillId="0" borderId="22" xfId="0" applyNumberFormat="1" applyBorder="1" applyAlignment="1">
      <alignment horizontal="center" vertical="center"/>
    </xf>
    <xf numFmtId="3" fontId="0" fillId="0" borderId="18" xfId="0" applyNumberFormat="1" applyBorder="1" applyAlignment="1">
      <alignment horizontal="center" vertical="center"/>
    </xf>
    <xf numFmtId="0" fontId="14" fillId="0" borderId="58" xfId="0" applyFont="1" applyBorder="1"/>
    <xf numFmtId="172" fontId="0" fillId="0" borderId="59" xfId="0" applyNumberFormat="1" applyBorder="1"/>
    <xf numFmtId="164" fontId="0" fillId="0" borderId="60" xfId="18" applyNumberFormat="1" applyFont="1" applyFill="1" applyBorder="1"/>
    <xf numFmtId="172" fontId="0" fillId="0" borderId="61" xfId="0" applyNumberFormat="1" applyBorder="1"/>
    <xf numFmtId="164" fontId="0" fillId="0" borderId="43" xfId="18" applyNumberFormat="1" applyFont="1" applyFill="1" applyBorder="1"/>
    <xf numFmtId="0" fontId="0" fillId="0" borderId="58" xfId="0" applyBorder="1"/>
    <xf numFmtId="172" fontId="0" fillId="0" borderId="56" xfId="0" applyNumberFormat="1" applyBorder="1" applyAlignment="1">
      <alignment horizontal="right"/>
    </xf>
    <xf numFmtId="164" fontId="0" fillId="0" borderId="56" xfId="18" applyNumberFormat="1" applyFont="1" applyFill="1" applyBorder="1"/>
    <xf numFmtId="0" fontId="0" fillId="0" borderId="58" xfId="0" applyBorder="1" applyAlignment="1">
      <alignment wrapText="1"/>
    </xf>
    <xf numFmtId="9" fontId="0" fillId="0" borderId="0" xfId="0" applyNumberFormat="1" applyAlignment="1">
      <alignment horizontal="center"/>
    </xf>
    <xf numFmtId="0" fontId="22" fillId="11" borderId="42" xfId="0" applyFont="1" applyFill="1" applyBorder="1"/>
    <xf numFmtId="3" fontId="4" fillId="8" borderId="62" xfId="0" applyNumberFormat="1" applyFont="1" applyFill="1" applyBorder="1" applyAlignment="1">
      <alignment horizontal="center" vertical="center" wrapText="1"/>
    </xf>
    <xf numFmtId="3" fontId="22" fillId="6" borderId="63" xfId="18" applyNumberFormat="1" applyFont="1" applyFill="1" applyBorder="1" applyAlignment="1">
      <alignment horizontal="center" vertical="center"/>
    </xf>
    <xf numFmtId="3" fontId="22" fillId="6" borderId="64" xfId="18" applyNumberFormat="1" applyFont="1" applyFill="1" applyBorder="1" applyAlignment="1">
      <alignment horizontal="center" vertical="center"/>
    </xf>
    <xf numFmtId="0" fontId="4" fillId="15" borderId="65" xfId="0" applyFont="1" applyFill="1" applyBorder="1"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4" fillId="4" borderId="37" xfId="0" applyFont="1" applyFill="1" applyBorder="1" applyAlignment="1">
      <alignment horizontal="center" wrapText="1"/>
    </xf>
    <xf numFmtId="0" fontId="0" fillId="0" borderId="0" xfId="0" applyAlignment="1">
      <alignment horizontal="left" wrapText="1"/>
    </xf>
    <xf numFmtId="164" fontId="4" fillId="0" borderId="0" xfId="0" applyNumberFormat="1" applyFont="1" applyAlignment="1">
      <alignment horizontal="left"/>
    </xf>
    <xf numFmtId="164" fontId="0" fillId="0" borderId="0" xfId="18" applyNumberFormat="1" applyFont="1" applyBorder="1" applyAlignment="1">
      <alignment horizontal="left"/>
    </xf>
    <xf numFmtId="164" fontId="0" fillId="0" borderId="0" xfId="0" applyNumberFormat="1" applyAlignment="1">
      <alignment horizontal="left"/>
    </xf>
    <xf numFmtId="3" fontId="19" fillId="16" borderId="29" xfId="0" applyNumberFormat="1" applyFont="1" applyFill="1" applyBorder="1" applyAlignment="1">
      <alignment horizontal="center" vertical="center" wrapText="1"/>
    </xf>
    <xf numFmtId="3" fontId="0" fillId="17" borderId="18" xfId="0" applyNumberFormat="1" applyFill="1" applyBorder="1" applyAlignment="1">
      <alignment horizontal="center" vertical="center"/>
    </xf>
    <xf numFmtId="0" fontId="0" fillId="0" borderId="0" xfId="0"/>
    <xf numFmtId="43" fontId="0" fillId="0" borderId="36" xfId="18" applyFont="1" applyBorder="1"/>
    <xf numFmtId="43" fontId="0" fillId="0" borderId="0" xfId="18" applyFont="1" applyBorder="1"/>
    <xf numFmtId="43" fontId="0" fillId="0" borderId="34" xfId="18" applyFont="1" applyBorder="1"/>
    <xf numFmtId="43" fontId="0" fillId="0" borderId="68" xfId="18" applyFont="1" applyBorder="1"/>
    <xf numFmtId="43" fontId="0" fillId="0" borderId="69" xfId="18" applyFont="1" applyBorder="1"/>
    <xf numFmtId="43" fontId="0" fillId="0" borderId="70" xfId="18" applyFont="1" applyBorder="1"/>
    <xf numFmtId="0" fontId="0" fillId="0" borderId="49" xfId="0" applyBorder="1"/>
    <xf numFmtId="0" fontId="0" fillId="0" borderId="71" xfId="0" applyBorder="1"/>
    <xf numFmtId="0" fontId="0" fillId="0" borderId="72" xfId="0" applyBorder="1"/>
    <xf numFmtId="43" fontId="0" fillId="0" borderId="3" xfId="18" applyFont="1" applyBorder="1"/>
    <xf numFmtId="43" fontId="0" fillId="0" borderId="32" xfId="18" applyFont="1" applyBorder="1"/>
    <xf numFmtId="43" fontId="0" fillId="0" borderId="33" xfId="18" applyFont="1" applyBorder="1"/>
    <xf numFmtId="0" fontId="4" fillId="0" borderId="2" xfId="26"/>
    <xf numFmtId="43" fontId="4" fillId="0" borderId="2" xfId="26" applyNumberFormat="1"/>
    <xf numFmtId="43" fontId="0" fillId="0" borderId="73" xfId="18" applyFont="1" applyBorder="1"/>
    <xf numFmtId="43" fontId="0" fillId="0" borderId="74" xfId="18" applyFont="1" applyBorder="1"/>
    <xf numFmtId="0" fontId="0" fillId="0" borderId="75" xfId="0" applyBorder="1"/>
    <xf numFmtId="49" fontId="0" fillId="0" borderId="47" xfId="0" applyNumberFormat="1" applyBorder="1" applyAlignment="1">
      <alignment horizontal="center" vertical="center"/>
    </xf>
    <xf numFmtId="3" fontId="0" fillId="0" borderId="51" xfId="18" applyNumberFormat="1" applyFont="1" applyFill="1" applyBorder="1" applyAlignment="1">
      <alignment vertical="center"/>
    </xf>
    <xf numFmtId="164" fontId="0" fillId="0" borderId="76" xfId="18" applyNumberFormat="1" applyFont="1" applyFill="1" applyBorder="1"/>
    <xf numFmtId="49" fontId="0" fillId="0" borderId="0" xfId="0" applyNumberFormat="1"/>
    <xf numFmtId="0" fontId="7" fillId="3" borderId="15" xfId="22" applyFont="1" applyFill="1" applyBorder="1" applyAlignment="1">
      <alignment horizontal="center" wrapText="1"/>
      <protection/>
    </xf>
    <xf numFmtId="171" fontId="7" fillId="0" borderId="67" xfId="22" applyNumberFormat="1" applyFont="1" applyBorder="1">
      <alignment/>
      <protection/>
    </xf>
    <xf numFmtId="171" fontId="7" fillId="0" borderId="67" xfId="22" applyNumberFormat="1" applyFont="1" applyBorder="1" applyAlignment="1">
      <alignment horizontal="right"/>
      <protection/>
    </xf>
    <xf numFmtId="171" fontId="9" fillId="0" borderId="77" xfId="22" applyNumberFormat="1" applyFont="1" applyBorder="1">
      <alignment/>
      <protection/>
    </xf>
    <xf numFmtId="0" fontId="7" fillId="0" borderId="15" xfId="22" applyFont="1" applyBorder="1" applyAlignment="1">
      <alignment horizontal="center" wrapText="1"/>
      <protection/>
    </xf>
    <xf numFmtId="171" fontId="7" fillId="0" borderId="67" xfId="22" applyNumberFormat="1" applyFont="1" applyBorder="1" applyAlignment="1">
      <alignment wrapText="1"/>
      <protection/>
    </xf>
    <xf numFmtId="0" fontId="7" fillId="0" borderId="15" xfId="22" applyFont="1" applyBorder="1" applyAlignment="1">
      <alignment horizontal="center"/>
      <protection/>
    </xf>
    <xf numFmtId="171" fontId="7" fillId="0" borderId="78" xfId="22" applyNumberFormat="1" applyFont="1" applyBorder="1">
      <alignment/>
      <protection/>
    </xf>
    <xf numFmtId="0" fontId="7" fillId="0" borderId="14" xfId="22" applyFont="1" applyBorder="1" applyAlignment="1">
      <alignment horizontal="center"/>
      <protection/>
    </xf>
    <xf numFmtId="171" fontId="7" fillId="0" borderId="18" xfId="22" applyNumberFormat="1" applyFont="1" applyBorder="1">
      <alignment/>
      <protection/>
    </xf>
    <xf numFmtId="171" fontId="7" fillId="0" borderId="35" xfId="22" applyNumberFormat="1" applyFont="1" applyBorder="1">
      <alignment/>
      <protection/>
    </xf>
    <xf numFmtId="171" fontId="9" fillId="0" borderId="21" xfId="22" applyNumberFormat="1" applyFont="1" applyBorder="1">
      <alignment/>
      <protection/>
    </xf>
    <xf numFmtId="171" fontId="7" fillId="0" borderId="18" xfId="22" applyNumberFormat="1" applyFont="1" applyBorder="1" applyAlignment="1">
      <alignment wrapText="1"/>
      <protection/>
    </xf>
    <xf numFmtId="171" fontId="7" fillId="0" borderId="18" xfId="22" applyNumberFormat="1" applyFont="1" applyBorder="1" applyAlignment="1">
      <alignment horizontal="right"/>
      <protection/>
    </xf>
    <xf numFmtId="3" fontId="19" fillId="9" borderId="29" xfId="0" applyNumberFormat="1" applyFont="1" applyFill="1" applyBorder="1" applyAlignment="1">
      <alignment horizontal="center" vertical="center" wrapText="1"/>
    </xf>
    <xf numFmtId="164" fontId="0" fillId="0" borderId="0" xfId="0" applyNumberFormat="1" applyAlignment="1">
      <alignment horizontal="right"/>
    </xf>
    <xf numFmtId="3" fontId="4" fillId="18" borderId="0" xfId="0" applyNumberFormat="1" applyFont="1" applyFill="1" applyAlignment="1">
      <alignment horizontal="right"/>
    </xf>
    <xf numFmtId="3" fontId="15" fillId="18" borderId="79" xfId="18" applyNumberFormat="1" applyFont="1" applyFill="1" applyBorder="1" applyAlignment="1">
      <alignment horizontal="right" vertical="center"/>
    </xf>
    <xf numFmtId="3" fontId="15" fillId="18" borderId="43" xfId="18" applyNumberFormat="1" applyFont="1" applyFill="1" applyBorder="1" applyAlignment="1">
      <alignment horizontal="right" vertical="center"/>
    </xf>
    <xf numFmtId="0" fontId="15" fillId="0" borderId="0" xfId="0" applyFont="1"/>
    <xf numFmtId="3" fontId="15" fillId="0" borderId="79" xfId="18" applyNumberFormat="1" applyFont="1" applyFill="1" applyBorder="1" applyAlignment="1">
      <alignment horizontal="right" vertical="center"/>
    </xf>
    <xf numFmtId="3" fontId="15" fillId="18" borderId="66" xfId="18" applyNumberFormat="1" applyFont="1" applyFill="1" applyBorder="1" applyAlignment="1">
      <alignment horizontal="right" vertical="center"/>
    </xf>
    <xf numFmtId="3" fontId="0" fillId="18" borderId="18" xfId="18" applyNumberFormat="1" applyFont="1" applyFill="1" applyBorder="1" applyAlignment="1">
      <alignment vertical="center"/>
    </xf>
    <xf numFmtId="46" fontId="0" fillId="0" borderId="0" xfId="0" applyNumberFormat="1"/>
    <xf numFmtId="0" fontId="11" fillId="0" borderId="0" xfId="22" applyFont="1" applyAlignment="1">
      <alignment horizontal="center" vertical="center" wrapText="1"/>
      <protection/>
    </xf>
    <xf numFmtId="0" fontId="1" fillId="0" borderId="0" xfId="22" applyAlignment="1">
      <alignment horizontal="left" wrapText="1" indent="1"/>
      <protection/>
    </xf>
    <xf numFmtId="0" fontId="1" fillId="0" borderId="0" xfId="22" applyAlignment="1">
      <alignment horizontal="left" wrapText="1"/>
      <protection/>
    </xf>
    <xf numFmtId="172" fontId="4" fillId="0" borderId="56" xfId="0" applyNumberFormat="1" applyFont="1" applyBorder="1"/>
    <xf numFmtId="0" fontId="0" fillId="0" borderId="0" xfId="0" applyNumberFormat="1"/>
    <xf numFmtId="0" fontId="11" fillId="0" borderId="0" xfId="22" applyFont="1" applyAlignment="1">
      <alignment horizontal="center" vertical="center" wrapText="1"/>
      <protection/>
    </xf>
    <xf numFmtId="0" fontId="25" fillId="0" borderId="0" xfId="22" applyFont="1" applyFill="1">
      <alignment/>
      <protection/>
    </xf>
    <xf numFmtId="3" fontId="7" fillId="19" borderId="0" xfId="22" applyNumberFormat="1" applyFont="1" applyFill="1" quotePrefix="1">
      <alignment/>
      <protection/>
    </xf>
    <xf numFmtId="3" fontId="7" fillId="19" borderId="0" xfId="22" applyNumberFormat="1" applyFont="1" applyFill="1">
      <alignment/>
      <protection/>
    </xf>
    <xf numFmtId="173" fontId="7" fillId="19" borderId="0" xfId="22" applyNumberFormat="1" applyFont="1" applyFill="1">
      <alignment/>
      <protection/>
    </xf>
    <xf numFmtId="3" fontId="12" fillId="19" borderId="30" xfId="25" applyNumberFormat="1" applyFont="1" applyFill="1" applyBorder="1" applyAlignment="1">
      <alignment horizontal="center" vertical="center" wrapText="1"/>
      <protection/>
    </xf>
    <xf numFmtId="3" fontId="10" fillId="0" borderId="0" xfId="22" applyNumberFormat="1" applyFont="1" applyAlignment="1">
      <alignment horizontal="center"/>
      <protection/>
    </xf>
    <xf numFmtId="0" fontId="10" fillId="20" borderId="0" xfId="22" applyFont="1" applyFill="1">
      <alignment/>
      <protection/>
    </xf>
    <xf numFmtId="3" fontId="10" fillId="20" borderId="0" xfId="22" applyNumberFormat="1" applyFont="1" applyFill="1" applyAlignment="1">
      <alignment horizontal="center"/>
      <protection/>
    </xf>
    <xf numFmtId="0" fontId="10" fillId="10" borderId="0" xfId="22" applyFont="1" applyFill="1">
      <alignment/>
      <protection/>
    </xf>
    <xf numFmtId="3" fontId="10" fillId="10" borderId="0" xfId="22" applyNumberFormat="1" applyFont="1" applyFill="1" applyAlignment="1">
      <alignment horizontal="center"/>
      <protection/>
    </xf>
    <xf numFmtId="3" fontId="21" fillId="0" borderId="0" xfId="0" applyNumberFormat="1" applyFont="1" applyAlignment="1">
      <alignment horizontal="left" vertical="top" wrapText="1"/>
    </xf>
    <xf numFmtId="0" fontId="21" fillId="0" borderId="0" xfId="0" applyFont="1" applyAlignment="1">
      <alignment horizontal="left" vertical="top" wrapText="1"/>
    </xf>
    <xf numFmtId="3" fontId="19" fillId="9" borderId="80" xfId="0" applyNumberFormat="1" applyFont="1" applyFill="1" applyBorder="1" applyAlignment="1">
      <alignment horizontal="center" vertical="center" wrapText="1"/>
    </xf>
    <xf numFmtId="3" fontId="19" fillId="9" borderId="81" xfId="0" applyNumberFormat="1" applyFont="1" applyFill="1" applyBorder="1" applyAlignment="1">
      <alignment horizontal="center" vertical="center" wrapText="1"/>
    </xf>
    <xf numFmtId="3" fontId="19" fillId="8" borderId="82" xfId="0" applyNumberFormat="1" applyFont="1" applyFill="1" applyBorder="1" applyAlignment="1">
      <alignment horizontal="center" vertical="center" wrapText="1"/>
    </xf>
    <xf numFmtId="3" fontId="19" fillId="8" borderId="83" xfId="0" applyNumberFormat="1" applyFont="1" applyFill="1" applyBorder="1" applyAlignment="1">
      <alignment horizontal="center" vertical="center" wrapText="1"/>
    </xf>
    <xf numFmtId="0" fontId="23" fillId="0" borderId="0" xfId="0" applyFont="1" applyAlignment="1">
      <alignment horizontal="left" vertical="top" wrapText="1"/>
    </xf>
    <xf numFmtId="0" fontId="23" fillId="0" borderId="69" xfId="0" applyFont="1" applyBorder="1" applyAlignment="1">
      <alignment horizontal="left" vertical="top" wrapText="1"/>
    </xf>
    <xf numFmtId="0" fontId="22" fillId="0" borderId="0" xfId="0" applyFont="1" applyAlignment="1">
      <alignment horizontal="center"/>
    </xf>
    <xf numFmtId="3" fontId="4" fillId="21" borderId="84" xfId="0" applyNumberFormat="1" applyFont="1" applyFill="1" applyBorder="1" applyAlignment="1">
      <alignment horizontal="center"/>
    </xf>
    <xf numFmtId="3" fontId="4" fillId="21" borderId="85" xfId="0" applyNumberFormat="1" applyFont="1" applyFill="1" applyBorder="1" applyAlignment="1">
      <alignment horizontal="center"/>
    </xf>
    <xf numFmtId="0" fontId="2" fillId="0" borderId="86" xfId="20" applyBorder="1" applyAlignment="1">
      <alignment horizontal="center"/>
    </xf>
    <xf numFmtId="0" fontId="2" fillId="0" borderId="87" xfId="20" applyBorder="1" applyAlignment="1">
      <alignment horizontal="center"/>
    </xf>
    <xf numFmtId="0" fontId="16" fillId="0" borderId="88" xfId="20" applyFont="1" applyBorder="1" applyAlignment="1">
      <alignment horizontal="center"/>
    </xf>
    <xf numFmtId="0" fontId="2" fillId="0" borderId="0" xfId="20" applyBorder="1" applyAlignment="1">
      <alignment horizontal="center" wrapText="1"/>
    </xf>
    <xf numFmtId="0" fontId="0" fillId="0" borderId="3" xfId="0" applyBorder="1" applyAlignment="1">
      <alignment horizontal="center"/>
    </xf>
    <xf numFmtId="0" fontId="0" fillId="0" borderId="32" xfId="0" applyBorder="1" applyAlignment="1">
      <alignment horizontal="center"/>
    </xf>
    <xf numFmtId="0" fontId="7" fillId="0" borderId="0" xfId="22" applyFont="1" applyAlignment="1">
      <alignment horizontal="left" wrapText="1"/>
      <protection/>
    </xf>
    <xf numFmtId="0" fontId="7" fillId="0" borderId="3" xfId="22" applyFont="1" applyBorder="1" applyAlignment="1">
      <alignment horizontal="left" vertical="top" wrapText="1"/>
      <protection/>
    </xf>
    <xf numFmtId="0" fontId="7" fillId="0" borderId="32" xfId="22" applyFont="1" applyBorder="1" applyAlignment="1">
      <alignment horizontal="left" vertical="top" wrapText="1"/>
      <protection/>
    </xf>
    <xf numFmtId="0" fontId="7" fillId="0" borderId="33" xfId="22" applyFont="1" applyBorder="1" applyAlignment="1">
      <alignment horizontal="left" vertical="top" wrapText="1"/>
      <protection/>
    </xf>
    <xf numFmtId="0" fontId="7" fillId="0" borderId="68" xfId="22" applyFont="1" applyBorder="1" applyAlignment="1">
      <alignment horizontal="left" vertical="top" wrapText="1"/>
      <protection/>
    </xf>
    <xf numFmtId="0" fontId="7" fillId="0" borderId="69" xfId="22" applyFont="1" applyBorder="1" applyAlignment="1">
      <alignment horizontal="left" vertical="top" wrapText="1"/>
      <protection/>
    </xf>
    <xf numFmtId="0" fontId="7" fillId="0" borderId="70" xfId="22" applyFont="1" applyBorder="1" applyAlignment="1">
      <alignment horizontal="left" vertical="top" wrapText="1"/>
      <protection/>
    </xf>
    <xf numFmtId="0" fontId="11" fillId="0" borderId="89" xfId="22" applyFont="1" applyBorder="1" applyAlignment="1">
      <alignment horizontal="center" vertical="center" wrapText="1"/>
      <protection/>
    </xf>
    <xf numFmtId="0" fontId="11" fillId="0" borderId="25" xfId="22" applyFont="1" applyBorder="1" applyAlignment="1">
      <alignment horizontal="center" vertical="center" wrapText="1"/>
      <protection/>
    </xf>
    <xf numFmtId="0" fontId="11" fillId="0" borderId="26" xfId="22" applyFont="1" applyBorder="1" applyAlignment="1">
      <alignment horizontal="center" vertical="center" wrapText="1"/>
      <protection/>
    </xf>
    <xf numFmtId="0" fontId="11" fillId="0" borderId="39" xfId="22" applyFont="1" applyBorder="1" applyAlignment="1">
      <alignment horizontal="center" vertical="center" wrapText="1"/>
      <protection/>
    </xf>
    <xf numFmtId="0" fontId="11" fillId="0" borderId="0" xfId="22" applyFont="1" applyAlignment="1">
      <alignment horizontal="center" vertical="center" wrapText="1"/>
      <protection/>
    </xf>
    <xf numFmtId="0" fontId="11" fillId="0" borderId="76" xfId="22" applyFont="1" applyBorder="1" applyAlignment="1">
      <alignment horizontal="center" vertical="center" wrapText="1"/>
      <protection/>
    </xf>
    <xf numFmtId="0" fontId="1" fillId="0" borderId="90" xfId="24" applyFont="1" applyBorder="1" applyAlignment="1">
      <alignment horizontal="center" vertical="center" wrapText="1"/>
      <protection/>
    </xf>
    <xf numFmtId="0" fontId="1" fillId="0" borderId="17" xfId="24" applyFont="1" applyBorder="1" applyAlignment="1">
      <alignment horizontal="center" vertical="center" wrapText="1"/>
      <protection/>
    </xf>
    <xf numFmtId="0" fontId="1" fillId="0" borderId="0" xfId="22" applyAlignment="1">
      <alignment horizontal="left" wrapText="1" indent="1"/>
      <protection/>
    </xf>
    <xf numFmtId="0" fontId="1" fillId="0" borderId="0" xfId="22" applyAlignment="1">
      <alignment horizontal="left" wrapText="1"/>
      <protection/>
    </xf>
    <xf numFmtId="0" fontId="1" fillId="0" borderId="0" xfId="22" applyAlignment="1">
      <alignment horizontal="left" vertical="center" wrapText="1" indent="1"/>
      <protection/>
    </xf>
    <xf numFmtId="0" fontId="7" fillId="0" borderId="0" xfId="22" applyFont="1" applyAlignment="1">
      <alignment horizontal="left" vertical="top" wrapText="1"/>
      <protection/>
    </xf>
    <xf numFmtId="0" fontId="1" fillId="0" borderId="0" xfId="22" applyAlignment="1">
      <alignment horizontal="left" vertical="top" wrapText="1"/>
      <protection/>
    </xf>
  </cellXfs>
  <cellStyles count="13">
    <cellStyle name="Normal" xfId="0"/>
    <cellStyle name="Percent" xfId="15"/>
    <cellStyle name="Currency" xfId="16"/>
    <cellStyle name="Currency [0]" xfId="17"/>
    <cellStyle name="Comma" xfId="18"/>
    <cellStyle name="Comma [0]" xfId="19"/>
    <cellStyle name="Heading 2" xfId="20"/>
    <cellStyle name="Good" xfId="21"/>
    <cellStyle name="Normal 2" xfId="22"/>
    <cellStyle name="Comma 2" xfId="23"/>
    <cellStyle name="Normal 2 2" xfId="24"/>
    <cellStyle name="Normal_CIP Correction Fiscal Note" xfId="25"/>
    <cellStyle name="Total"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pivotCacheDefinition" Target="pivotCache/pivotCacheDefinition2.xml" /><Relationship Id="rId10" Type="http://schemas.openxmlformats.org/officeDocument/2006/relationships/styles" Target="styles.xml" /><Relationship Id="rId11" Type="http://schemas.openxmlformats.org/officeDocument/2006/relationships/sharedStrings" Target="sharedStrings.xml" /><Relationship Id="rId12" Type="http://schemas.microsoft.com/office/2017/10/relationships/person" Target="persons/person.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person displayName="Nicole Aguirre" id="{FC732A14-3DFF-4076-B097-D3C67206CACA}" userId="S::naguirre@kingcounty.gov::67f65609-4f28-4d72-8d6c-cef317246b17" providerId="AD"/>
  <person displayName="Huang Fernandes, Yingying" id="{709847FE-A875-404A-840C-7777339865C7}" userId="S::yhuangfernandes@kingcounty.gov::fd27c6ff-0a13-43a0-85bb-4e20d7b88eb1" providerId="AD"/>
</personList>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8" recordCount="8" refreshedBy="Miller, Ryan" refreshedVersion="8">
  <cacheSource type="worksheet">
    <worksheetSource ref="U2:AC10" sheet="Phase 2 - Fall 2025 Budget"/>
  </cacheSource>
  <cacheFields count="9">
    <cacheField name="Delta between baseline and proposed" numFmtId="164">
      <sharedItems containsSemiMixedTypes="0" containsString="0" containsMixedTypes="0" containsNumber="1" containsInteger="1" count="0"/>
    </cacheField>
    <cacheField name="% Change in Hours" numFmtId="9">
      <sharedItems containsSemiMixedTypes="0" containsString="0" containsMixedTypes="0" containsNumber="1" containsInteger="1" count="0"/>
    </cacheField>
    <cacheField name="Netplan Booking and Scenario">
      <sharedItems containsString="0" containsBlank="1" containsMixedTypes="1" count="0"/>
    </cacheField>
    <cacheField name="Vehicle Schedule Created? (add contingency if &quot;no&quot;)">
      <sharedItems containsMixedTypes="0" count="0"/>
    </cacheField>
    <cacheField name="Notes">
      <sharedItems containsBlank="1" containsMixedTypes="0" count="0"/>
    </cacheField>
    <cacheField name="Weekday Delta" numFmtId="167">
      <sharedItems containsSemiMixedTypes="0" containsString="0" containsMixedTypes="0" containsNumber="1" containsInteger="1" count="0"/>
    </cacheField>
    <cacheField name="Saturday delta" numFmtId="167">
      <sharedItems containsSemiMixedTypes="0" containsString="0" containsMixedTypes="0" containsNumber="1" containsInteger="1" count="0"/>
    </cacheField>
    <cacheField name="Sunday Delta" numFmtId="167">
      <sharedItems containsSemiMixedTypes="0" containsString="0" containsMixedTypes="0" containsNumber="1" containsInteger="1" count="0"/>
    </cacheField>
    <cacheField name="Vehicle group">
      <sharedItems containsMixedTypes="0" count="6">
        <s v="40 ft Trolley"/>
        <s v="60 ft Hybrid"/>
        <s v="-"/>
        <s v="40 ft Hybrid"/>
        <s v="RR"/>
        <s v="RapidRide"/>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8" refreshOnLoad="1" recordCount="8" refreshedBy="Bourguignon, Mary" refreshedVersion="8">
  <cacheSource type="worksheet">
    <worksheetSource ref="U2:AC10" sheet="Phase 1 - Fall 2024 Budget"/>
  </cacheSource>
  <cacheFields count="9">
    <cacheField name="Delta between baseline and proposed" numFmtId="164">
      <sharedItems containsSemiMixedTypes="0" containsString="0" containsMixedTypes="0" containsNumber="1" containsInteger="1" count="0"/>
    </cacheField>
    <cacheField name="% Change in Hours" numFmtId="9">
      <sharedItems containsSemiMixedTypes="0" containsString="0" containsMixedTypes="0" containsNumber="1" containsInteger="1" count="0"/>
    </cacheField>
    <cacheField name="Netplan Booking and Scenario">
      <sharedItems containsString="0" containsBlank="1" containsMixedTypes="1" count="0"/>
    </cacheField>
    <cacheField name="Vehicle Schedule Created? (add contingency if &quot;no&quot;)">
      <sharedItems containsMixedTypes="0" count="0"/>
    </cacheField>
    <cacheField name="Notes">
      <sharedItems containsBlank="1" containsMixedTypes="0" count="0"/>
    </cacheField>
    <cacheField name="Weekday Delta" numFmtId="167">
      <sharedItems containsSemiMixedTypes="0" containsString="0" containsMixedTypes="0" containsNumber="1" containsInteger="1" count="0"/>
    </cacheField>
    <cacheField name="Saturday delta" numFmtId="167">
      <sharedItems containsSemiMixedTypes="0" containsString="0" containsMixedTypes="0" containsNumber="1" containsInteger="1" count="0"/>
    </cacheField>
    <cacheField name="Sunday Delta" numFmtId="167">
      <sharedItems containsSemiMixedTypes="0" containsString="0" containsMixedTypes="0" containsNumber="1" containsInteger="1" count="0"/>
    </cacheField>
    <cacheField name="Vehicle group">
      <sharedItems containsMixedTypes="0" count="6">
        <s v="40 ft Trolley"/>
        <s v="60 ft Hybrid"/>
        <s v="40 ft Hybrid"/>
        <s v="-"/>
        <s v="RR"/>
        <s v="RapidRide"/>
      </sharedItems>
    </cacheField>
  </cacheFields>
</pivotCacheDefinition>
</file>

<file path=xl/pivotCache/pivotCacheRecords1.xml><?xml version="1.0" encoding="utf-8"?>
<pivotCacheRecords xmlns="http://schemas.openxmlformats.org/spreadsheetml/2006/main" xmlns:r="http://schemas.openxmlformats.org/officeDocument/2006/relationships" count="8">
  <r>
    <n v="-1422.449999999997"/>
    <n v="-0.015803419658034164"/>
    <m/>
    <s v="YES"/>
    <m/>
    <n v="-6.499019607843138"/>
    <n v="5.108974358974336"/>
    <n v="-0.5321839080459654"/>
    <x v="0"/>
  </r>
  <r>
    <n v="-4502.916666666668"/>
    <n v="-0.17966391360438366"/>
    <m/>
    <s v="YES"/>
    <m/>
    <n v="-16.53235294117647"/>
    <n v="-1.8833333333333329"/>
    <n v="-3.262643678160927"/>
    <x v="0"/>
  </r>
  <r>
    <n v="770.0833333333358"/>
    <n v="0.02969053218696595"/>
    <m/>
    <s v="YES"/>
    <m/>
    <n v="-4.251960784313724"/>
    <n v="15.930769230769236"/>
    <n v="17.688505747126435"/>
    <x v="1"/>
  </r>
  <r>
    <n v="-3353.7333333333336"/>
    <n v="-0.14858594361496316"/>
    <m/>
    <s v="YES"/>
    <m/>
    <n v="-19.700000000000003"/>
    <n v="14.784615384615392"/>
    <n v="15.533908045977007"/>
    <x v="0"/>
  </r>
  <r>
    <n v="0"/>
    <n v="0"/>
    <m/>
    <s v="YES"/>
    <s v="Currently Suspended"/>
    <n v="0"/>
    <n v="0"/>
    <n v="0"/>
    <x v="2"/>
  </r>
  <r>
    <n v="-3149.2500000000073"/>
    <n v="-0.06911706610481975"/>
    <m/>
    <s v="YES"/>
    <m/>
    <n v="-9.334313725490219"/>
    <n v="-3.6487179487179446"/>
    <n v="-9.987356321839087"/>
    <x v="0"/>
  </r>
  <r>
    <n v="10137.18333333332"/>
    <n v="0.14557179851707167"/>
    <m/>
    <s v="YES"/>
    <m/>
    <n v="12.449999999999989"/>
    <n v="63.67179487179486"/>
    <n v="62.95689655172414"/>
    <x v="3"/>
  </r>
  <r>
    <n v="47707.883333333346"/>
    <n v="0"/>
    <m/>
    <s v="YES"/>
    <m/>
    <n v="139.55"/>
    <n v="137.96666666666667"/>
    <n v="85.31666666666666"/>
    <x v="4"/>
  </r>
</pivotCacheRecords>
</file>

<file path=xl/pivotCache/pivotCacheRecords2.xml><?xml version="1.0" encoding="utf-8"?>
<pivotCacheRecords xmlns="http://schemas.openxmlformats.org/spreadsheetml/2006/main" xmlns:r="http://schemas.openxmlformats.org/officeDocument/2006/relationships" count="8">
  <r>
    <n v="-1422.449999999997"/>
    <n v="-0.015803419658034164"/>
    <m/>
    <s v="YES"/>
    <m/>
    <n v="-6.499019607843138"/>
    <n v="5.108974358974336"/>
    <n v="-0.5321839080459654"/>
    <x v="0"/>
  </r>
  <r>
    <n v="-4502.916666666668"/>
    <n v="-0.17966391360438366"/>
    <m/>
    <s v="YES"/>
    <m/>
    <n v="-16.53235294117647"/>
    <n v="-1.8833333333333329"/>
    <n v="-3.262643678160927"/>
    <x v="0"/>
  </r>
  <r>
    <n v="770.0833333333358"/>
    <n v="0.02969053218696595"/>
    <m/>
    <s v="YES"/>
    <m/>
    <n v="-4.251960784313724"/>
    <n v="15.930769230769236"/>
    <n v="17.688505747126435"/>
    <x v="1"/>
  </r>
  <r>
    <n v="-3353.7333333333336"/>
    <n v="-0.14858594361496316"/>
    <m/>
    <s v="YES"/>
    <m/>
    <n v="-19.700000000000003"/>
    <n v="14.784615384615392"/>
    <n v="15.533908045977007"/>
    <x v="2"/>
  </r>
  <r>
    <n v="0"/>
    <n v="0"/>
    <m/>
    <s v="YES"/>
    <s v="Currently Suspended"/>
    <n v="0"/>
    <n v="0"/>
    <n v="0"/>
    <x v="3"/>
  </r>
  <r>
    <n v="-3149.2500000000073"/>
    <n v="-0.06911706610481975"/>
    <m/>
    <s v="YES"/>
    <m/>
    <n v="-9.334313725490219"/>
    <n v="-3.6487179487179446"/>
    <n v="-9.987356321839087"/>
    <x v="0"/>
  </r>
  <r>
    <n v="10137.18333333332"/>
    <n v="0.14557179851707167"/>
    <m/>
    <s v="YES"/>
    <m/>
    <n v="12.449999999999989"/>
    <n v="63.67179487179486"/>
    <n v="62.95689655172414"/>
    <x v="2"/>
  </r>
  <r>
    <n v="47707.883333333346"/>
    <n v="0"/>
    <m/>
    <s v="YES"/>
    <m/>
    <n v="139.55"/>
    <n v="137.96666666666667"/>
    <n v="85.31666666666666"/>
    <x v="4"/>
  </r>
</pivotCacheRecord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3.xml><?xml version="1.0" encoding="utf-8"?>
<pivotTableDefinition xmlns="http://schemas.openxmlformats.org/spreadsheetml/2006/main" name="PivotTable3" cacheId="0" applyNumberFormats="0" applyBorderFormats="0" applyFontFormats="0" applyPatternFormats="0" applyAlignmentFormats="0" applyWidthHeightFormats="1" dataCaption="Values" showMissing="1" preserveFormatting="1" useAutoFormatting="1" itemPrintTitles="1" compactData="0" createdVersion="8" updatedVersion="8" indent="0" multipleFieldFilters="0" showMemberPropertyTips="1">
  <location ref="A11:D17" firstHeaderRow="0" firstDataRow="1" firstDataCol="1"/>
  <pivotFields count="9">
    <pivotField showAll="0" numFmtId="164"/>
    <pivotField showAll="0" numFmtId="9"/>
    <pivotField showAll="0"/>
    <pivotField showAll="0"/>
    <pivotField showAll="0"/>
    <pivotField dataField="1" showAll="0" numFmtId="167"/>
    <pivotField dataField="1" showAll="0" numFmtId="167"/>
    <pivotField dataField="1" showAll="0" numFmtId="167"/>
    <pivotField axis="axisRow" showAll="0">
      <items count="7">
        <item x="3"/>
        <item x="1"/>
        <item x="0"/>
        <item x="2"/>
        <item m="1" x="5"/>
        <item x="4"/>
        <item t="default"/>
      </items>
    </pivotField>
  </pivotFields>
  <rowFields count="1">
    <field x="8"/>
  </rowFields>
  <rowItems count="6">
    <i>
      <x/>
    </i>
    <i>
      <x v="1"/>
    </i>
    <i>
      <x v="2"/>
    </i>
    <i>
      <x v="3"/>
    </i>
    <i>
      <x v="5"/>
    </i>
    <i t="grand">
      <x/>
    </i>
  </rowItems>
  <colFields count="1">
    <field x="-2"/>
  </colFields>
  <colItems count="3">
    <i>
      <x/>
    </i>
    <i i="1">
      <x v="1"/>
    </i>
    <i i="2">
      <x v="2"/>
    </i>
  </colItems>
  <dataFields count="3">
    <dataField name="Sum of Weekday Delta" fld="5" baseField="0" baseItem="0"/>
    <dataField name="Sum of Saturday delta" fld="6" baseField="0" baseItem="0"/>
    <dataField name="Sum of Sunday Delta"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4.xml><?xml version="1.0" encoding="utf-8"?>
<pivotTableDefinition xmlns="http://schemas.openxmlformats.org/spreadsheetml/2006/main" name="PivotTable2" cacheId="4" applyNumberFormats="0" applyBorderFormats="0" applyFontFormats="0" applyPatternFormats="0" applyAlignmentFormats="0" applyWidthHeightFormats="1" dataCaption="Values" showMissing="1" preserveFormatting="1" useAutoFormatting="1" itemPrintTitles="1" compactData="0" createdVersion="8" updatedVersion="8" indent="0" multipleFieldFilters="0" showMemberPropertyTips="1">
  <location ref="A2:D8" firstHeaderRow="0" firstDataRow="1" firstDataCol="1"/>
  <pivotFields count="9">
    <pivotField showAll="0" numFmtId="164"/>
    <pivotField showAll="0" numFmtId="9"/>
    <pivotField showAll="0"/>
    <pivotField showAll="0"/>
    <pivotField showAll="0"/>
    <pivotField dataField="1" showAll="0" numFmtId="167"/>
    <pivotField dataField="1" showAll="0" numFmtId="167"/>
    <pivotField dataField="1" showAll="0" numFmtId="167"/>
    <pivotField axis="axisRow" showAll="0">
      <items count="7">
        <item x="2"/>
        <item x="1"/>
        <item x="0"/>
        <item x="3"/>
        <item m="1" x="5"/>
        <item x="4"/>
        <item t="default"/>
      </items>
    </pivotField>
  </pivotFields>
  <rowFields count="1">
    <field x="8"/>
  </rowFields>
  <rowItems count="6">
    <i>
      <x/>
    </i>
    <i>
      <x v="1"/>
    </i>
    <i>
      <x v="2"/>
    </i>
    <i>
      <x v="3"/>
    </i>
    <i>
      <x v="5"/>
    </i>
    <i t="grand">
      <x/>
    </i>
  </rowItems>
  <colFields count="1">
    <field x="-2"/>
  </colFields>
  <colItems count="3">
    <i>
      <x/>
    </i>
    <i i="1">
      <x v="1"/>
    </i>
    <i i="2">
      <x v="2"/>
    </i>
  </colItems>
  <dataFields count="3">
    <dataField name="Sum of Weekday Delta" fld="5" baseField="0" baseItem="0"/>
    <dataField name="Sum of Saturday delta" fld="6" baseField="0" baseItem="0"/>
    <dataField name="Sum of Sunday Delta"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8" dT="2024-02-13T17:35:07.70" personId="{709847FE-A875-404A-840C-7777339865C7}" id="{04362C89-874F-47C6-84E6-7D3AE7BCF226}">
    <text>Comparison of Hours and Trips - Power BI (powerbigov.us) 
Suspended hours between March 2020 and Fall 2023 for routes 3, 4, 8, 10, 11, 12, 49, 60</text>
    <extLst>
      <x:ext xmlns:xltc2="http://schemas.microsoft.com/office/spreadsheetml/2020/threadedcomments2" uri="{F7C98A9C-CBB3-438F-8F68-D28B6AF4A901}">
        <xltc2:checksum>3075954434</xltc2:checksum>
        <xltc2:hyperlink startIndex="0" length="56" url="https://app.powerbigov.us/groups/61de54e4-3095-47a8-854e-cb36d1a2b6ee/reports/557bb23f-4cda-434e-ae08-c75ef92ce43f/ReportSectionc5ac45a0e80ae33c6d01"/>
      </x:ext>
    </extLst>
  </threadedComment>
  <threadedComment ref="K15" dT="2023-12-27T18:48:19.38" personId="{709847FE-A875-404A-840C-7777339865C7}" id="{14AFE425-0785-478C-A684-5B4C8959ED6A}">
    <text xml:space="preserve">SDOT approved this increase on October 31st 2023. </text>
  </threadedComment>
</ThreadedComments>
</file>

<file path=xl/threadedComments/threadedComment2.xml><?xml version="1.0" encoding="utf-8"?>
<ThreadedComments xmlns="http://schemas.microsoft.com/office/spreadsheetml/2018/threadedcomments" xmlns:x="http://schemas.openxmlformats.org/spreadsheetml/2006/main">
  <threadedComment ref="K7" dT="2023-10-25T23:59:45.54" personId="{FC732A14-3DFF-4076-B097-D3C67206CACA}" id="{14DB3BD2-37D3-4357-860B-DF995F0693FC}" done="1">
    <text>For weekdays, used Route 79 runtimes. For Sat/Sun, used runtimes from University Way NE/NE 43rd St to the Triangle minus one minute to estimate time between University Way NE/NE 43rd St and the new terminals near the Boat St layover</text>
  </threadedComment>
</ThreadedComments>
</file>

<file path=xl/worksheets/_rels/sheet1.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microsoft.com/office/2017/10/relationships/threadedComment" Target="../threadedComments/threadedComment2.xml" /><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3.xml"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C64A3-FB11-499F-892F-C673C1577538}">
  <dimension ref="A1:P36"/>
  <sheetViews>
    <sheetView zoomScaleSheetLayoutView="115" workbookViewId="0" topLeftCell="A1">
      <pane xSplit="1" ySplit="3" topLeftCell="B4" activePane="bottomRight" state="frozen"/>
      <selection pane="topLeft" activeCell="F366" sqref="F366"/>
      <selection pane="topRight" activeCell="F366" sqref="F366"/>
      <selection pane="bottomLeft" activeCell="F366" sqref="F366"/>
      <selection pane="bottomRight" activeCell="F366" sqref="F366"/>
    </sheetView>
  </sheetViews>
  <sheetFormatPr defaultColWidth="9.140625" defaultRowHeight="15" customHeight="1"/>
  <cols>
    <col min="1" max="1" width="14.140625" style="0" customWidth="1"/>
    <col min="2" max="2" width="16.28125" style="0" customWidth="1"/>
    <col min="3" max="3" width="12.421875" style="0" hidden="1" customWidth="1"/>
    <col min="4" max="5" width="13.140625" style="0" customWidth="1"/>
    <col min="6" max="7" width="12.7109375" style="0" customWidth="1"/>
    <col min="8" max="8" width="14.28125" style="0" customWidth="1"/>
    <col min="10" max="10" width="36.57421875" style="0" customWidth="1"/>
    <col min="11" max="11" width="11.57421875" style="104" customWidth="1"/>
    <col min="12" max="12" width="13.00390625" style="0" customWidth="1"/>
    <col min="13" max="13" width="30.8515625" style="0" customWidth="1"/>
    <col min="14" max="14" width="9.140625" style="0" customWidth="1"/>
  </cols>
  <sheetData>
    <row r="1" ht="21">
      <c r="A1" s="97" t="s">
        <v>0</v>
      </c>
    </row>
    <row r="2" ht="10.35" customHeight="1" thickBot="1">
      <c r="A2" s="97"/>
    </row>
    <row r="3" spans="1:8" ht="78.75" customHeight="1" thickBot="1">
      <c r="A3" s="119" t="s">
        <v>1</v>
      </c>
      <c r="B3" s="200" t="s">
        <v>2</v>
      </c>
      <c r="C3" s="162" t="s">
        <v>3</v>
      </c>
      <c r="D3" s="120" t="s">
        <v>4</v>
      </c>
      <c r="E3" s="121" t="s">
        <v>5</v>
      </c>
      <c r="F3" s="122" t="s">
        <v>6</v>
      </c>
      <c r="G3" s="123" t="s">
        <v>7</v>
      </c>
      <c r="H3" s="124" t="s">
        <v>8</v>
      </c>
    </row>
    <row r="4" spans="1:11" s="105" customFormat="1" ht="15.75" thickBot="1">
      <c r="A4" s="182" t="s">
        <v>9</v>
      </c>
      <c r="B4" s="126">
        <v>85739</v>
      </c>
      <c r="C4" s="126"/>
      <c r="D4" s="208">
        <v>0</v>
      </c>
      <c r="E4" s="126">
        <v>90009</v>
      </c>
      <c r="F4" s="126">
        <v>88586.55</v>
      </c>
      <c r="G4" s="208">
        <v>0</v>
      </c>
      <c r="H4" s="125">
        <v>88586.55</v>
      </c>
      <c r="J4" s="228" t="s">
        <v>10</v>
      </c>
      <c r="K4" s="229"/>
    </row>
    <row r="5" spans="1:11" ht="15">
      <c r="A5" s="117">
        <v>11</v>
      </c>
      <c r="B5" s="126">
        <v>25892</v>
      </c>
      <c r="C5" s="126"/>
      <c r="D5" s="126">
        <v>4855</v>
      </c>
      <c r="E5" s="126">
        <v>25937</v>
      </c>
      <c r="F5" s="126">
        <f>H5-G5</f>
        <v>23474</v>
      </c>
      <c r="G5" s="126">
        <v>3233</v>
      </c>
      <c r="H5" s="125">
        <v>26707</v>
      </c>
      <c r="J5" s="106" t="s">
        <v>11</v>
      </c>
      <c r="K5" s="107">
        <f>E11</f>
        <v>278782</v>
      </c>
    </row>
    <row r="6" spans="1:11" ht="15">
      <c r="A6" s="182" t="s">
        <v>12</v>
      </c>
      <c r="B6" s="126">
        <v>48246</v>
      </c>
      <c r="C6" s="126"/>
      <c r="D6" s="126">
        <v>8177</v>
      </c>
      <c r="E6" s="126">
        <v>47634</v>
      </c>
      <c r="F6" s="126">
        <v>39778</v>
      </c>
      <c r="G6" s="126">
        <v>0</v>
      </c>
      <c r="H6" s="125">
        <v>39777</v>
      </c>
      <c r="J6" s="106" t="s">
        <v>13</v>
      </c>
      <c r="K6" s="107">
        <v>45000</v>
      </c>
    </row>
    <row r="7" spans="1:12" s="105" customFormat="1" ht="14.25" customHeight="1">
      <c r="A7" s="117">
        <v>47</v>
      </c>
      <c r="B7" s="126">
        <v>0</v>
      </c>
      <c r="C7" s="126"/>
      <c r="D7" s="126">
        <v>0</v>
      </c>
      <c r="E7" s="126">
        <v>0</v>
      </c>
      <c r="F7" s="126">
        <v>0</v>
      </c>
      <c r="G7" s="126">
        <v>0</v>
      </c>
      <c r="H7" s="125">
        <v>0</v>
      </c>
      <c r="J7" s="106" t="s">
        <v>14</v>
      </c>
      <c r="K7" s="204">
        <v>0</v>
      </c>
      <c r="L7"/>
    </row>
    <row r="8" spans="1:11" ht="15.75" thickBot="1">
      <c r="A8" s="117">
        <v>49</v>
      </c>
      <c r="B8" s="126">
        <v>43840</v>
      </c>
      <c r="C8" s="126"/>
      <c r="D8" s="126">
        <v>132</v>
      </c>
      <c r="E8" s="126">
        <v>45564</v>
      </c>
      <c r="F8" s="126">
        <f>H8-G8</f>
        <v>40206</v>
      </c>
      <c r="G8" s="126">
        <v>2209</v>
      </c>
      <c r="H8" s="183">
        <v>42415</v>
      </c>
      <c r="J8" s="108" t="s">
        <v>15</v>
      </c>
      <c r="K8" s="206">
        <v>4132</v>
      </c>
    </row>
    <row r="9" spans="1:13" ht="14.25" customHeight="1">
      <c r="A9" s="117">
        <v>60</v>
      </c>
      <c r="B9" s="126">
        <v>69712</v>
      </c>
      <c r="C9" s="126"/>
      <c r="D9" s="126">
        <v>12065</v>
      </c>
      <c r="E9" s="126">
        <v>69638</v>
      </c>
      <c r="F9" s="126">
        <v>64662</v>
      </c>
      <c r="G9" s="126">
        <v>15112</v>
      </c>
      <c r="H9" s="125">
        <v>79774.18333333332</v>
      </c>
      <c r="J9" s="89" t="s">
        <v>16</v>
      </c>
      <c r="K9" s="202">
        <f>SUM(K5:K8)</f>
        <v>327914</v>
      </c>
      <c r="M9" s="84"/>
    </row>
    <row r="10" spans="1:14" ht="14.25" customHeight="1">
      <c r="A10" s="117">
        <v>677</v>
      </c>
      <c r="B10" s="126">
        <v>0</v>
      </c>
      <c r="C10" s="126"/>
      <c r="D10" s="126">
        <v>0</v>
      </c>
      <c r="E10" s="126">
        <f>'Phase 1 - Fall 2024 Budget'!I10</f>
        <v>0</v>
      </c>
      <c r="F10" s="125">
        <v>47707.883333333346</v>
      </c>
      <c r="G10" s="126">
        <v>0</v>
      </c>
      <c r="H10" s="125">
        <v>47707.883333333346</v>
      </c>
      <c r="J10" s="110"/>
      <c r="K10" s="201"/>
      <c r="L10" s="205"/>
      <c r="N10" s="90"/>
    </row>
    <row r="11" spans="1:12" s="105" customFormat="1" ht="14.25" customHeight="1" thickBot="1">
      <c r="A11" s="118"/>
      <c r="B11" s="127">
        <f aca="true" t="shared" si="0" ref="B11:G11">SUM(B4:B10)</f>
        <v>273429</v>
      </c>
      <c r="C11" s="127">
        <f t="shared" si="0"/>
        <v>0</v>
      </c>
      <c r="D11" s="127">
        <f t="shared" si="0"/>
        <v>25229</v>
      </c>
      <c r="E11" s="127">
        <f t="shared" si="0"/>
        <v>278782</v>
      </c>
      <c r="F11" s="127">
        <f t="shared" si="0"/>
        <v>304414.43333333335</v>
      </c>
      <c r="G11" s="127">
        <f t="shared" si="0"/>
        <v>20554</v>
      </c>
      <c r="H11" s="127">
        <f>SUM(H4:H10)</f>
        <v>324967.61666666664</v>
      </c>
      <c r="J11"/>
      <c r="K11" s="104"/>
      <c r="L11"/>
    </row>
    <row r="12" spans="1:12" s="105" customFormat="1" ht="14.25" customHeight="1" thickBot="1">
      <c r="A12"/>
      <c r="B12"/>
      <c r="C12"/>
      <c r="D12"/>
      <c r="E12"/>
      <c r="F12"/>
      <c r="G12"/>
      <c r="H12"/>
      <c r="J12" s="230" t="s">
        <v>17</v>
      </c>
      <c r="K12" s="231"/>
      <c r="L12" s="90"/>
    </row>
    <row r="13" spans="2:11" ht="15.75" customHeight="1">
      <c r="B13" s="90"/>
      <c r="D13" s="90"/>
      <c r="E13" s="90"/>
      <c r="I13" s="105"/>
      <c r="J13" s="128" t="s">
        <v>17</v>
      </c>
      <c r="K13" s="129">
        <f>F11</f>
        <v>304414.43333333335</v>
      </c>
    </row>
    <row r="14" spans="4:11" ht="15">
      <c r="D14" s="84"/>
      <c r="E14" s="84"/>
      <c r="F14" s="90"/>
      <c r="G14" s="84"/>
      <c r="H14" s="84"/>
      <c r="J14" s="130" t="s">
        <v>7</v>
      </c>
      <c r="K14" s="207">
        <f>D11</f>
        <v>25229</v>
      </c>
    </row>
    <row r="15" spans="5:11" ht="15.75" customHeight="1">
      <c r="E15" s="84"/>
      <c r="F15" s="90"/>
      <c r="G15" s="84"/>
      <c r="H15" s="90"/>
      <c r="J15" s="128" t="s">
        <v>18</v>
      </c>
      <c r="K15" s="129">
        <v>146</v>
      </c>
    </row>
    <row r="16" spans="1:16" s="105" customFormat="1" ht="36" customHeight="1" thickBot="1">
      <c r="A16"/>
      <c r="C16"/>
      <c r="D16"/>
      <c r="E16"/>
      <c r="F16"/>
      <c r="G16" s="84"/>
      <c r="H16" s="84"/>
      <c r="I16"/>
      <c r="J16" s="108" t="s">
        <v>19</v>
      </c>
      <c r="K16" s="203">
        <v>-4821</v>
      </c>
      <c r="M16" s="227"/>
      <c r="N16" s="227"/>
      <c r="O16"/>
      <c r="P16"/>
    </row>
    <row r="17" spans="10:14" ht="15">
      <c r="J17" s="89" t="s">
        <v>20</v>
      </c>
      <c r="K17" s="109">
        <f>SUM(K13:K16)</f>
        <v>324968.43333333335</v>
      </c>
      <c r="L17" s="90"/>
      <c r="M17" s="226"/>
      <c r="N17" s="227"/>
    </row>
    <row r="18" spans="2:11" ht="135">
      <c r="B18" s="1" t="s">
        <v>144</v>
      </c>
      <c r="D18" s="1" t="s">
        <v>147</v>
      </c>
      <c r="E18" s="1" t="s">
        <v>145</v>
      </c>
      <c r="F18" s="1" t="s">
        <v>146</v>
      </c>
      <c r="K18"/>
    </row>
    <row r="19" spans="2:11" ht="30" customHeight="1">
      <c r="B19" s="90">
        <f>(K17-H10-K16)-(K9-K6)</f>
        <v>-832.4500000000116</v>
      </c>
      <c r="D19" s="90">
        <f>(K17-H10)-(K9-K6)</f>
        <v>-5653.450000000012</v>
      </c>
      <c r="E19" s="90">
        <f>K17-K16-K9</f>
        <v>1875.4333333333489</v>
      </c>
      <c r="F19" s="90">
        <f>K17-K9</f>
        <v>-2945.566666666651</v>
      </c>
      <c r="K19"/>
    </row>
    <row r="20" ht="15">
      <c r="D20" s="90"/>
    </row>
    <row r="21" ht="15"/>
    <row r="22" ht="15"/>
    <row r="23" ht="15"/>
    <row r="25" ht="15"/>
    <row r="26" ht="15"/>
    <row r="27" ht="15"/>
    <row r="28" ht="15"/>
    <row r="29" ht="15"/>
    <row r="30" ht="15"/>
    <row r="31" ht="15"/>
    <row r="32" spans="10:11" ht="15">
      <c r="J32" s="105"/>
      <c r="K32" s="105"/>
    </row>
    <row r="33" ht="15"/>
    <row r="35" spans="1:11" s="105" customFormat="1" ht="15">
      <c r="A35"/>
      <c r="B35"/>
      <c r="C35"/>
      <c r="D35"/>
      <c r="E35"/>
      <c r="F35"/>
      <c r="G35"/>
      <c r="H35"/>
      <c r="J35"/>
      <c r="K35" s="104"/>
    </row>
    <row r="36" spans="1:11" s="105" customFormat="1" ht="15">
      <c r="A36"/>
      <c r="B36"/>
      <c r="C36"/>
      <c r="D36"/>
      <c r="E36"/>
      <c r="F36"/>
      <c r="G36"/>
      <c r="H36"/>
      <c r="I36"/>
      <c r="J36"/>
      <c r="K36" s="104"/>
    </row>
    <row r="37" ht="15"/>
    <row r="38" ht="15"/>
    <row r="39" ht="15"/>
    <row r="40" ht="15"/>
    <row r="41" ht="15"/>
    <row r="42" ht="15"/>
    <row r="44" ht="15"/>
  </sheetData>
  <mergeCells count="4">
    <mergeCell ref="M17:N17"/>
    <mergeCell ref="J4:K4"/>
    <mergeCell ref="J12:K12"/>
    <mergeCell ref="M16:N16"/>
  </mergeCells>
  <printOptions/>
  <pageMargins left="0.7" right="0.7" top="0.75" bottom="0.75" header="0.3" footer="0.3"/>
  <pageSetup fitToHeight="0" fitToWidth="0" horizontalDpi="1200" verticalDpi="1200" orientation="landscape" paperSize="5"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6DB29-6D2F-4C1A-9D07-0D2F5839A967}">
  <sheetPr>
    <tabColor rgb="FF00B050"/>
  </sheetPr>
  <dimension ref="A1:K22"/>
  <sheetViews>
    <sheetView workbookViewId="0" topLeftCell="A1">
      <pane xSplit="1" ySplit="3" topLeftCell="B4" activePane="bottomRight" state="frozen"/>
      <selection pane="topLeft" activeCell="F366" sqref="F366"/>
      <selection pane="topRight" activeCell="F366" sqref="F366"/>
      <selection pane="bottomLeft" activeCell="F366" sqref="F366"/>
      <selection pane="bottomRight" activeCell="F366" sqref="F366"/>
    </sheetView>
  </sheetViews>
  <sheetFormatPr defaultColWidth="9.140625" defaultRowHeight="15" customHeight="1"/>
  <cols>
    <col min="1" max="1" width="16.140625" style="0" customWidth="1"/>
    <col min="2" max="2" width="12.140625" style="0" customWidth="1"/>
    <col min="3" max="3" width="9.7109375" style="0" bestFit="1" customWidth="1"/>
    <col min="4" max="4" width="11.7109375" style="0" customWidth="1"/>
    <col min="5" max="5" width="10.7109375" style="0" bestFit="1" customWidth="1"/>
    <col min="6" max="6" width="10.28125" style="0" customWidth="1"/>
    <col min="7" max="7" width="15.421875" style="0" customWidth="1"/>
    <col min="8" max="8" width="21.00390625" style="0" customWidth="1"/>
    <col min="9" max="9" width="12.8515625" style="0" customWidth="1"/>
    <col min="10" max="10" width="12.421875" style="0" hidden="1" customWidth="1"/>
    <col min="11" max="11" width="76.140625" style="0" hidden="1" customWidth="1"/>
  </cols>
  <sheetData>
    <row r="1" spans="1:7" ht="15" customHeight="1" thickBot="1">
      <c r="A1" s="232"/>
      <c r="B1" s="234"/>
      <c r="C1" s="234"/>
      <c r="D1" s="234"/>
      <c r="E1" s="234"/>
      <c r="F1" s="234"/>
      <c r="G1" s="234"/>
    </row>
    <row r="2" spans="1:11" ht="55.5" customHeight="1" thickBot="1">
      <c r="A2" s="233"/>
      <c r="B2" s="235" t="s">
        <v>21</v>
      </c>
      <c r="C2" s="236"/>
      <c r="D2" s="235" t="s">
        <v>22</v>
      </c>
      <c r="E2" s="236"/>
      <c r="F2" s="235" t="s">
        <v>23</v>
      </c>
      <c r="G2" s="236"/>
      <c r="H2" s="132" t="s">
        <v>24</v>
      </c>
      <c r="I2" s="132" t="s">
        <v>25</v>
      </c>
      <c r="J2" s="151" t="s">
        <v>26</v>
      </c>
      <c r="K2" s="132" t="s">
        <v>27</v>
      </c>
    </row>
    <row r="3" spans="1:11" ht="25.5" customHeight="1">
      <c r="A3" s="154" t="s">
        <v>1</v>
      </c>
      <c r="B3" s="133" t="s">
        <v>28</v>
      </c>
      <c r="C3" s="134" t="s">
        <v>29</v>
      </c>
      <c r="D3" s="133" t="s">
        <v>28</v>
      </c>
      <c r="E3" s="134" t="s">
        <v>29</v>
      </c>
      <c r="F3" s="133" t="s">
        <v>28</v>
      </c>
      <c r="G3" s="134" t="s">
        <v>29</v>
      </c>
      <c r="H3" s="135"/>
      <c r="I3" s="135"/>
      <c r="J3" s="135"/>
      <c r="K3" s="135"/>
    </row>
    <row r="4" spans="1:11" ht="15">
      <c r="A4" s="155" t="s">
        <v>9</v>
      </c>
      <c r="B4" s="136">
        <v>11.563194444444445</v>
      </c>
      <c r="C4" s="137">
        <f>_xlfn.IFERROR(B4*255*24,"")</f>
        <v>70766.75</v>
      </c>
      <c r="D4" s="136">
        <v>6.892361111111111</v>
      </c>
      <c r="E4" s="137">
        <f>_xlfn.IFERROR(D4*52*24,"")</f>
        <v>8601.666666666666</v>
      </c>
      <c r="F4" s="136">
        <v>6.622222222222223</v>
      </c>
      <c r="G4" s="147">
        <f aca="true" t="shared" si="0" ref="G4:G9">_xlfn.IFERROR(F4*58*24,"")</f>
        <v>9218.133333333333</v>
      </c>
      <c r="H4" s="163" t="s">
        <v>30</v>
      </c>
      <c r="I4" s="139">
        <f aca="true" t="shared" si="1" ref="I4:I11">SUM(G4+E4+C4)</f>
        <v>88586.55</v>
      </c>
      <c r="J4" s="138">
        <f aca="true" t="shared" si="2" ref="J4:J11">I4*1.100784</f>
        <v>97514.6568552</v>
      </c>
      <c r="K4" s="148"/>
    </row>
    <row r="5" spans="1:11" ht="15">
      <c r="A5" s="155">
        <v>10</v>
      </c>
      <c r="B5" s="136">
        <v>2.384027777777778</v>
      </c>
      <c r="C5" s="137">
        <f>_xlfn.IFERROR(B5*255*24,"")</f>
        <v>14590.25</v>
      </c>
      <c r="D5" s="136">
        <v>2.3381944444444445</v>
      </c>
      <c r="E5" s="137">
        <f>_xlfn.IFERROR(D5*52*24,"")</f>
        <v>2918.0666666666666</v>
      </c>
      <c r="F5" s="136">
        <v>2.192361111111111</v>
      </c>
      <c r="G5" s="137">
        <f t="shared" si="0"/>
        <v>3051.7666666666664</v>
      </c>
      <c r="H5" s="163" t="s">
        <v>30</v>
      </c>
      <c r="I5" s="139">
        <f t="shared" si="1"/>
        <v>20560.083333333332</v>
      </c>
      <c r="J5" s="138">
        <f t="shared" si="2"/>
        <v>22632.210772</v>
      </c>
      <c r="K5" s="145"/>
    </row>
    <row r="6" spans="1:11" ht="15">
      <c r="A6" s="155">
        <v>11</v>
      </c>
      <c r="B6" s="136">
        <v>3.1881944444444446</v>
      </c>
      <c r="C6" s="137">
        <f>_xlfn.IFERROR(B6*255*24,"")</f>
        <v>19511.75</v>
      </c>
      <c r="D6" s="136">
        <v>2.7895833333333333</v>
      </c>
      <c r="E6" s="137">
        <f>_xlfn.IFERROR(D6*52*24,"")</f>
        <v>3481.4</v>
      </c>
      <c r="F6" s="136">
        <v>2.6680555555555556</v>
      </c>
      <c r="G6" s="137">
        <f t="shared" si="0"/>
        <v>3713.9333333333334</v>
      </c>
      <c r="H6" s="163" t="s">
        <v>30</v>
      </c>
      <c r="I6" s="139">
        <f>SUM(G6+E6+C6)</f>
        <v>26707.083333333336</v>
      </c>
      <c r="J6" s="138"/>
      <c r="K6" s="145"/>
    </row>
    <row r="7" spans="1:11" ht="15">
      <c r="A7" s="155">
        <v>12</v>
      </c>
      <c r="B7" s="141">
        <v>2.201388888888889</v>
      </c>
      <c r="C7" s="142">
        <f>_xlfn.IFERROR(B7*255*24,"")</f>
        <v>13472.5</v>
      </c>
      <c r="D7" s="136">
        <v>2.1625</v>
      </c>
      <c r="E7" s="137">
        <f>_xlfn.IFERROR(D7*52*24,"")</f>
        <v>2698.8</v>
      </c>
      <c r="F7" s="143">
        <v>2.1881944444444446</v>
      </c>
      <c r="G7" s="144">
        <f t="shared" si="0"/>
        <v>3045.966666666667</v>
      </c>
      <c r="H7" s="163" t="s">
        <v>30</v>
      </c>
      <c r="I7" s="139">
        <f t="shared" si="1"/>
        <v>19217.266666666666</v>
      </c>
      <c r="J7" s="138">
        <f t="shared" si="2"/>
        <v>21154.059670399998</v>
      </c>
      <c r="K7" s="140"/>
    </row>
    <row r="8" spans="1:11" s="105" customFormat="1" ht="15" customHeight="1">
      <c r="A8" s="156">
        <v>47</v>
      </c>
      <c r="B8" s="136">
        <v>0</v>
      </c>
      <c r="C8" s="137">
        <v>0</v>
      </c>
      <c r="D8" s="136">
        <v>0</v>
      </c>
      <c r="E8" s="137">
        <f aca="true" t="shared" si="3" ref="E8:E11">_xlfn.IFERROR(D8*52*24,"")</f>
        <v>0</v>
      </c>
      <c r="F8" s="136">
        <v>0</v>
      </c>
      <c r="G8" s="137">
        <f t="shared" si="0"/>
        <v>0</v>
      </c>
      <c r="H8" s="163" t="s">
        <v>30</v>
      </c>
      <c r="I8" s="139">
        <f t="shared" si="1"/>
        <v>0</v>
      </c>
      <c r="J8" s="138">
        <f t="shared" si="2"/>
        <v>0</v>
      </c>
      <c r="K8" s="140"/>
    </row>
    <row r="9" spans="1:11" ht="15">
      <c r="A9" s="155">
        <v>49</v>
      </c>
      <c r="B9" s="136">
        <v>4.8798611111111105</v>
      </c>
      <c r="C9" s="137">
        <f>_xlfn.IFERROR(B9*255*24,"")</f>
        <v>29864.75</v>
      </c>
      <c r="D9" s="146">
        <v>4.821527777777778</v>
      </c>
      <c r="E9" s="137">
        <f t="shared" si="3"/>
        <v>6017.266666666666</v>
      </c>
      <c r="F9" s="146">
        <v>4.6930555555555555</v>
      </c>
      <c r="G9" s="137">
        <f t="shared" si="0"/>
        <v>6532.733333333333</v>
      </c>
      <c r="H9" s="163" t="s">
        <v>30</v>
      </c>
      <c r="I9" s="139">
        <f t="shared" si="1"/>
        <v>42414.75</v>
      </c>
      <c r="J9" s="138">
        <f t="shared" si="2"/>
        <v>46689.478164</v>
      </c>
      <c r="K9" s="145"/>
    </row>
    <row r="10" spans="1:11" ht="15.75" customHeight="1">
      <c r="A10" s="155">
        <v>60</v>
      </c>
      <c r="B10" s="136">
        <v>9.893749999999999</v>
      </c>
      <c r="C10" s="137">
        <f aca="true" t="shared" si="4" ref="C10:C11">_xlfn.IFERROR(B10*255*24,"")</f>
        <v>60549.749999999985</v>
      </c>
      <c r="D10" s="146">
        <v>7.422222222222222</v>
      </c>
      <c r="E10" s="137">
        <f t="shared" si="3"/>
        <v>9262.933333333332</v>
      </c>
      <c r="F10" s="146">
        <v>7.15625</v>
      </c>
      <c r="G10" s="137">
        <f aca="true" t="shared" si="5" ref="G10:G11">_xlfn.IFERROR(F10*58*24,"")</f>
        <v>9961.5</v>
      </c>
      <c r="H10" s="163" t="s">
        <v>30</v>
      </c>
      <c r="I10" s="139">
        <f t="shared" si="1"/>
        <v>79774.18333333332</v>
      </c>
      <c r="J10" s="138">
        <f t="shared" si="2"/>
        <v>87814.14462639998</v>
      </c>
      <c r="K10" s="145"/>
    </row>
    <row r="11" spans="1:11" ht="15">
      <c r="A11" s="155">
        <v>677</v>
      </c>
      <c r="B11" s="136">
        <v>5.814583333333334</v>
      </c>
      <c r="C11" s="137">
        <f t="shared" si="4"/>
        <v>35585.25000000001</v>
      </c>
      <c r="D11" s="136">
        <v>5.748611111111111</v>
      </c>
      <c r="E11" s="137">
        <f t="shared" si="3"/>
        <v>7174.266666666666</v>
      </c>
      <c r="F11" s="136">
        <v>3.5548611111111112</v>
      </c>
      <c r="G11" s="137">
        <f t="shared" si="5"/>
        <v>4948.366666666667</v>
      </c>
      <c r="H11" s="163" t="s">
        <v>30</v>
      </c>
      <c r="I11" s="139">
        <f t="shared" si="1"/>
        <v>47707.88333333334</v>
      </c>
      <c r="J11" s="138">
        <f t="shared" si="2"/>
        <v>52516.0746472</v>
      </c>
      <c r="K11" s="145"/>
    </row>
    <row r="12" spans="7:10" ht="15">
      <c r="G12" s="150" t="s">
        <v>31</v>
      </c>
      <c r="H12" s="152"/>
      <c r="I12" s="153">
        <f>SUM(I4:I11)</f>
        <v>324967.8</v>
      </c>
      <c r="J12" s="139">
        <f>SUM(J4:J11)</f>
        <v>328320.62473519996</v>
      </c>
    </row>
    <row r="13" spans="8:11" ht="15">
      <c r="H13" s="149"/>
      <c r="I13" s="149"/>
      <c r="J13" s="149"/>
      <c r="K13" s="149"/>
    </row>
    <row r="14" spans="10:11" ht="15">
      <c r="J14" s="139" t="e">
        <f>J12-#REF!</f>
        <v>#REF!</v>
      </c>
      <c r="K14" s="149"/>
    </row>
    <row r="15" spans="6:11" ht="15">
      <c r="F15" s="90"/>
      <c r="J15" s="149"/>
      <c r="K15" s="149"/>
    </row>
    <row r="16" spans="10:11" ht="15">
      <c r="J16" s="149"/>
      <c r="K16" s="149"/>
    </row>
    <row r="17" spans="10:11" ht="15" customHeight="1">
      <c r="J17" s="149"/>
      <c r="K17" s="149"/>
    </row>
    <row r="18" spans="8:11" ht="15" customHeight="1">
      <c r="H18" t="s">
        <v>143</v>
      </c>
      <c r="J18" s="149"/>
      <c r="K18" s="149"/>
    </row>
    <row r="19" ht="15" customHeight="1">
      <c r="J19" s="149"/>
    </row>
    <row r="20" ht="15" customHeight="1">
      <c r="J20" s="149"/>
    </row>
    <row r="21" ht="15" customHeight="1">
      <c r="J21" s="149"/>
    </row>
    <row r="22" ht="15" customHeight="1">
      <c r="J22" s="149"/>
    </row>
    <row r="23" ht="33.75" customHeight="1"/>
  </sheetData>
  <autoFilter ref="A3:K13"/>
  <mergeCells count="5">
    <mergeCell ref="A1:A2"/>
    <mergeCell ref="B1:G1"/>
    <mergeCell ref="B2:C2"/>
    <mergeCell ref="D2:E2"/>
    <mergeCell ref="F2:G2"/>
  </mergeCells>
  <printOptions/>
  <pageMargins left="0.7" right="0.7" top="0.75" bottom="0.75" header="0.3" footer="0.3"/>
  <pageSetup horizontalDpi="1200" verticalDpi="1200" orientation="portrait"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48156-3BD3-48FF-940E-1143ADB9E25D}">
  <dimension ref="A1:AD32"/>
  <sheetViews>
    <sheetView workbookViewId="0" topLeftCell="A1">
      <pane xSplit="1" ySplit="2" topLeftCell="B3" activePane="bottomRight" state="frozen"/>
      <selection pane="topLeft" activeCell="F366" sqref="F366"/>
      <selection pane="topRight" activeCell="F366" sqref="F366"/>
      <selection pane="bottomLeft" activeCell="F366" sqref="F366"/>
      <selection pane="bottomRight" activeCell="F366" sqref="F366"/>
    </sheetView>
  </sheetViews>
  <sheetFormatPr defaultColWidth="9.140625" defaultRowHeight="15"/>
  <cols>
    <col min="1" max="1" width="11.421875" style="0" customWidth="1"/>
    <col min="2" max="2" width="9.57421875" style="0" bestFit="1" customWidth="1"/>
    <col min="3" max="4" width="9.28125" style="0" bestFit="1" customWidth="1"/>
    <col min="5" max="5" width="9.57421875" style="0" bestFit="1" customWidth="1"/>
    <col min="6" max="6" width="11.57421875" style="0" bestFit="1" customWidth="1"/>
    <col min="7" max="8" width="10.57421875" style="0" bestFit="1" customWidth="1"/>
    <col min="9" max="9" width="11.57421875" style="0" bestFit="1" customWidth="1"/>
    <col min="10" max="10" width="10.7109375" style="0" bestFit="1" customWidth="1"/>
    <col min="11" max="12" width="9.28125" style="0" bestFit="1" customWidth="1"/>
    <col min="13" max="15" width="9.28125" style="0" customWidth="1"/>
    <col min="16" max="16" width="9.28125" style="0" bestFit="1" customWidth="1"/>
    <col min="17" max="17" width="10.57421875" style="0" hidden="1" customWidth="1"/>
    <col min="18" max="18" width="9.28125" style="0" hidden="1" customWidth="1"/>
    <col min="19" max="19" width="10.140625" style="0" hidden="1" customWidth="1"/>
    <col min="20" max="20" width="10.57421875" style="0" bestFit="1" customWidth="1"/>
    <col min="21" max="21" width="12.7109375" style="0" bestFit="1" customWidth="1"/>
    <col min="22" max="22" width="12.7109375" style="0" customWidth="1"/>
    <col min="23" max="23" width="22.28125" style="0" customWidth="1"/>
    <col min="24" max="24" width="18.57421875" style="2" customWidth="1"/>
    <col min="25" max="25" width="26.28125" style="1" customWidth="1"/>
    <col min="26" max="26" width="16.8515625" style="0" bestFit="1" customWidth="1"/>
    <col min="27" max="27" width="15.57421875" style="0" customWidth="1"/>
    <col min="28" max="28" width="13.7109375" style="0" customWidth="1"/>
    <col min="29" max="29" width="12.28125" style="0" customWidth="1"/>
  </cols>
  <sheetData>
    <row r="1" spans="2:20" ht="18" thickBot="1">
      <c r="B1" s="237" t="s">
        <v>32</v>
      </c>
      <c r="C1" s="238"/>
      <c r="D1" s="238"/>
      <c r="E1" s="238"/>
      <c r="F1" s="238"/>
      <c r="G1" s="238"/>
      <c r="H1" s="238"/>
      <c r="I1" s="239"/>
      <c r="J1" s="240"/>
      <c r="K1" s="240"/>
      <c r="L1" s="240"/>
      <c r="M1" s="240"/>
      <c r="N1" s="240"/>
      <c r="O1" s="240"/>
      <c r="P1" s="240"/>
      <c r="Q1" s="240"/>
      <c r="R1" s="240"/>
      <c r="S1" s="240"/>
      <c r="T1" s="240"/>
    </row>
    <row r="2" spans="1:29" s="1" customFormat="1" ht="75">
      <c r="A2" s="102" t="s">
        <v>33</v>
      </c>
      <c r="B2" s="111" t="s">
        <v>34</v>
      </c>
      <c r="C2" s="112" t="s">
        <v>35</v>
      </c>
      <c r="D2" s="112" t="s">
        <v>36</v>
      </c>
      <c r="E2" s="112" t="s">
        <v>28</v>
      </c>
      <c r="F2" s="112" t="s">
        <v>37</v>
      </c>
      <c r="G2" s="112" t="s">
        <v>38</v>
      </c>
      <c r="H2" s="112" t="s">
        <v>39</v>
      </c>
      <c r="I2" s="113" t="s">
        <v>40</v>
      </c>
      <c r="J2" s="131" t="s">
        <v>34</v>
      </c>
      <c r="K2" s="115" t="s">
        <v>35</v>
      </c>
      <c r="L2" s="116" t="s">
        <v>36</v>
      </c>
      <c r="M2" s="131" t="s">
        <v>142</v>
      </c>
      <c r="N2" s="115" t="s">
        <v>35</v>
      </c>
      <c r="O2" s="116" t="s">
        <v>36</v>
      </c>
      <c r="P2" s="114" t="s">
        <v>28</v>
      </c>
      <c r="Q2" s="115" t="s">
        <v>37</v>
      </c>
      <c r="R2" s="115" t="s">
        <v>38</v>
      </c>
      <c r="S2" s="115" t="s">
        <v>39</v>
      </c>
      <c r="T2" s="115" t="s">
        <v>40</v>
      </c>
      <c r="U2" s="101" t="s">
        <v>41</v>
      </c>
      <c r="V2" s="98" t="s">
        <v>42</v>
      </c>
      <c r="W2" s="98" t="s">
        <v>43</v>
      </c>
      <c r="X2" s="157" t="s">
        <v>44</v>
      </c>
      <c r="Y2" s="98" t="s">
        <v>45</v>
      </c>
      <c r="Z2" s="98" t="s">
        <v>46</v>
      </c>
      <c r="AA2" s="98" t="s">
        <v>47</v>
      </c>
      <c r="AB2" s="98" t="s">
        <v>48</v>
      </c>
      <c r="AC2" s="99" t="s">
        <v>49</v>
      </c>
    </row>
    <row r="3" spans="1:29" ht="15">
      <c r="A3" s="155" t="s">
        <v>9</v>
      </c>
      <c r="B3" s="82">
        <f aca="true" t="shared" si="0" ref="B3:B10">F3/255</f>
        <v>284.0156862745098</v>
      </c>
      <c r="C3" s="86">
        <f aca="true" t="shared" si="1" ref="C3:C10">G3/52</f>
        <v>160.30769230769232</v>
      </c>
      <c r="D3" s="86">
        <f aca="true" t="shared" si="2" ref="D3:D10">H3/58</f>
        <v>159.4655172413793</v>
      </c>
      <c r="E3" s="4">
        <f aca="true" t="shared" si="3" ref="E3:E10">SUM(B3:D3)</f>
        <v>603.7888958235815</v>
      </c>
      <c r="F3" s="4">
        <v>72424</v>
      </c>
      <c r="G3" s="4">
        <v>8336</v>
      </c>
      <c r="H3" s="4">
        <v>9249</v>
      </c>
      <c r="I3" s="96">
        <f>'Project Budget'!E4</f>
        <v>90009</v>
      </c>
      <c r="J3" s="136">
        <v>11.563194444444445</v>
      </c>
      <c r="K3" s="136">
        <v>6.892361111111111</v>
      </c>
      <c r="L3" s="136">
        <v>6.622222222222223</v>
      </c>
      <c r="M3" s="70">
        <f>J3*24</f>
        <v>277.51666666666665</v>
      </c>
      <c r="N3" s="70">
        <f aca="true" t="shared" si="4" ref="N3:O10">K3*24</f>
        <v>165.41666666666666</v>
      </c>
      <c r="O3" s="70">
        <f t="shared" si="4"/>
        <v>158.93333333333334</v>
      </c>
      <c r="P3" s="100">
        <f>SUM(J3,K3,L3)*24</f>
        <v>601.8666666666667</v>
      </c>
      <c r="Q3" s="4">
        <f>J3*255*24</f>
        <v>70766.75</v>
      </c>
      <c r="R3" s="4">
        <f>K3*52*24</f>
        <v>8601.666666666666</v>
      </c>
      <c r="S3" s="4">
        <f>L3*58*24</f>
        <v>9218.133333333333</v>
      </c>
      <c r="T3" s="75">
        <f>SUM(Q3:S3)</f>
        <v>88586.55</v>
      </c>
      <c r="U3" s="95">
        <f aca="true" t="shared" si="5" ref="U3:U10">T3-I3</f>
        <v>-1422.449999999997</v>
      </c>
      <c r="V3" s="5">
        <f aca="true" t="shared" si="6" ref="V3:V10">_xlfn.IFERROR(((T3-I3)/I3),0)</f>
        <v>-0.015803419658034164</v>
      </c>
      <c r="W3" s="1"/>
      <c r="X3" s="158" t="s">
        <v>30</v>
      </c>
      <c r="Z3" s="83">
        <f>M3-B3</f>
        <v>-6.499019607843138</v>
      </c>
      <c r="AA3" s="83">
        <f>N3-C3</f>
        <v>5.108974358974336</v>
      </c>
      <c r="AB3" s="83">
        <f>O3-D3</f>
        <v>-0.5321839080459654</v>
      </c>
      <c r="AC3" s="73" t="s">
        <v>50</v>
      </c>
    </row>
    <row r="4" spans="1:29" ht="15">
      <c r="A4" s="155">
        <v>10</v>
      </c>
      <c r="B4" s="82">
        <f t="shared" si="0"/>
        <v>73.74901960784314</v>
      </c>
      <c r="C4" s="86">
        <f t="shared" si="1"/>
        <v>58</v>
      </c>
      <c r="D4" s="86">
        <f t="shared" si="2"/>
        <v>55.87931034482759</v>
      </c>
      <c r="E4" s="4">
        <f t="shared" si="3"/>
        <v>187.62832995267073</v>
      </c>
      <c r="F4" s="4">
        <v>18806</v>
      </c>
      <c r="G4" s="4">
        <v>3016</v>
      </c>
      <c r="H4" s="4">
        <v>3241</v>
      </c>
      <c r="I4" s="96">
        <f aca="true" t="shared" si="7" ref="I4:I10">SUM(F4:H4)</f>
        <v>25063</v>
      </c>
      <c r="J4" s="136">
        <v>2.384027777777778</v>
      </c>
      <c r="K4" s="136">
        <v>2.3381944444444445</v>
      </c>
      <c r="L4" s="136">
        <v>2.192361111111111</v>
      </c>
      <c r="M4" s="70">
        <f aca="true" t="shared" si="8" ref="M4:M10">J4*24</f>
        <v>57.21666666666667</v>
      </c>
      <c r="N4" s="70">
        <f t="shared" si="4"/>
        <v>56.11666666666667</v>
      </c>
      <c r="O4" s="70">
        <f t="shared" si="4"/>
        <v>52.61666666666666</v>
      </c>
      <c r="P4" s="100">
        <f aca="true" t="shared" si="9" ref="P4:P10">SUM(J4,K4,L4)*24</f>
        <v>165.95</v>
      </c>
      <c r="Q4" s="4">
        <f aca="true" t="shared" si="10" ref="Q4:Q10">J4*255*24</f>
        <v>14590.25</v>
      </c>
      <c r="R4" s="4">
        <f aca="true" t="shared" si="11" ref="R4:R10">K4*52*24</f>
        <v>2918.0666666666666</v>
      </c>
      <c r="S4" s="4">
        <f aca="true" t="shared" si="12" ref="S4:S10">L4*58*24</f>
        <v>3051.7666666666664</v>
      </c>
      <c r="T4" s="75">
        <f aca="true" t="shared" si="13" ref="T4:T10">SUM(Q4:S4)</f>
        <v>20560.083333333332</v>
      </c>
      <c r="U4" s="95">
        <f t="shared" si="5"/>
        <v>-4502.916666666668</v>
      </c>
      <c r="V4" s="5">
        <f t="shared" si="6"/>
        <v>-0.17966391360438366</v>
      </c>
      <c r="W4" s="1"/>
      <c r="X4" s="158" t="s">
        <v>30</v>
      </c>
      <c r="Z4" s="83">
        <f aca="true" t="shared" si="14" ref="Z4:Z10">M4-B4</f>
        <v>-16.53235294117647</v>
      </c>
      <c r="AA4" s="83">
        <f aca="true" t="shared" si="15" ref="AA4:AA10">N4-C4</f>
        <v>-1.8833333333333329</v>
      </c>
      <c r="AB4" s="83">
        <f aca="true" t="shared" si="16" ref="AB4:AB10">O4-D4</f>
        <v>-3.262643678160927</v>
      </c>
      <c r="AC4" s="73" t="s">
        <v>51</v>
      </c>
    </row>
    <row r="5" spans="1:29" ht="15">
      <c r="A5" s="155">
        <v>11</v>
      </c>
      <c r="B5" s="82">
        <f t="shared" si="0"/>
        <v>80.76862745098039</v>
      </c>
      <c r="C5" s="86">
        <f t="shared" si="1"/>
        <v>51.01923076923077</v>
      </c>
      <c r="D5" s="86">
        <f t="shared" si="2"/>
        <v>46.3448275862069</v>
      </c>
      <c r="E5" s="4">
        <f t="shared" si="3"/>
        <v>178.13268580641804</v>
      </c>
      <c r="F5" s="4">
        <v>20596</v>
      </c>
      <c r="G5" s="4">
        <v>2653</v>
      </c>
      <c r="H5" s="4">
        <v>2688</v>
      </c>
      <c r="I5" s="96">
        <f t="shared" si="7"/>
        <v>25937</v>
      </c>
      <c r="J5" s="136">
        <v>3.1881944444444446</v>
      </c>
      <c r="K5" s="136">
        <v>2.7895833333333333</v>
      </c>
      <c r="L5" s="136">
        <v>2.6680555555555556</v>
      </c>
      <c r="M5" s="70">
        <f t="shared" si="8"/>
        <v>76.51666666666667</v>
      </c>
      <c r="N5" s="70">
        <f t="shared" si="4"/>
        <v>66.95</v>
      </c>
      <c r="O5" s="70">
        <f t="shared" si="4"/>
        <v>64.03333333333333</v>
      </c>
      <c r="P5" s="100">
        <f t="shared" si="9"/>
        <v>207.5</v>
      </c>
      <c r="Q5" s="4">
        <f t="shared" si="10"/>
        <v>19511.75</v>
      </c>
      <c r="R5" s="4">
        <f t="shared" si="11"/>
        <v>3481.4</v>
      </c>
      <c r="S5" s="4">
        <f t="shared" si="12"/>
        <v>3713.9333333333334</v>
      </c>
      <c r="T5" s="75">
        <f t="shared" si="13"/>
        <v>26707.083333333336</v>
      </c>
      <c r="U5" s="95">
        <f t="shared" si="5"/>
        <v>770.0833333333358</v>
      </c>
      <c r="V5" s="5">
        <f t="shared" si="6"/>
        <v>0.02969053218696595</v>
      </c>
      <c r="W5" s="1"/>
      <c r="X5" s="158" t="s">
        <v>30</v>
      </c>
      <c r="Y5"/>
      <c r="Z5" s="83">
        <f t="shared" si="14"/>
        <v>-4.251960784313724</v>
      </c>
      <c r="AA5" s="83">
        <f t="shared" si="15"/>
        <v>15.930769230769236</v>
      </c>
      <c r="AB5" s="83">
        <f t="shared" si="16"/>
        <v>17.688505747126435</v>
      </c>
      <c r="AC5" s="73" t="s">
        <v>52</v>
      </c>
    </row>
    <row r="6" spans="1:29" ht="15">
      <c r="A6" s="155">
        <v>12</v>
      </c>
      <c r="B6" s="82">
        <f t="shared" si="0"/>
        <v>72.53333333333333</v>
      </c>
      <c r="C6" s="86">
        <f t="shared" si="1"/>
        <v>37.11538461538461</v>
      </c>
      <c r="D6" s="86">
        <f t="shared" si="2"/>
        <v>36.98275862068966</v>
      </c>
      <c r="E6" s="4">
        <f t="shared" si="3"/>
        <v>146.6314765694076</v>
      </c>
      <c r="F6" s="4">
        <v>18496</v>
      </c>
      <c r="G6" s="4">
        <v>1930</v>
      </c>
      <c r="H6" s="4">
        <v>2145</v>
      </c>
      <c r="I6" s="96">
        <f t="shared" si="7"/>
        <v>22571</v>
      </c>
      <c r="J6" s="141">
        <v>2.201388888888889</v>
      </c>
      <c r="K6" s="136">
        <v>2.1625</v>
      </c>
      <c r="L6" s="143">
        <v>2.1881944444444446</v>
      </c>
      <c r="M6" s="70">
        <f t="shared" si="8"/>
        <v>52.83333333333333</v>
      </c>
      <c r="N6" s="70">
        <f t="shared" si="4"/>
        <v>51.900000000000006</v>
      </c>
      <c r="O6" s="70">
        <f t="shared" si="4"/>
        <v>52.516666666666666</v>
      </c>
      <c r="P6" s="100">
        <f t="shared" si="9"/>
        <v>157.25</v>
      </c>
      <c r="Q6" s="4">
        <f t="shared" si="10"/>
        <v>13472.5</v>
      </c>
      <c r="R6" s="4">
        <f t="shared" si="11"/>
        <v>2698.8</v>
      </c>
      <c r="S6" s="4">
        <f t="shared" si="12"/>
        <v>3045.966666666667</v>
      </c>
      <c r="T6" s="75">
        <f t="shared" si="13"/>
        <v>19217.266666666666</v>
      </c>
      <c r="U6" s="95">
        <f t="shared" si="5"/>
        <v>-3353.7333333333336</v>
      </c>
      <c r="V6" s="5">
        <f t="shared" si="6"/>
        <v>-0.14858594361496316</v>
      </c>
      <c r="W6" s="1"/>
      <c r="X6" s="158" t="s">
        <v>30</v>
      </c>
      <c r="Z6" s="83">
        <f t="shared" si="14"/>
        <v>-19.700000000000003</v>
      </c>
      <c r="AA6" s="83">
        <f t="shared" si="15"/>
        <v>14.784615384615392</v>
      </c>
      <c r="AB6" s="83">
        <f t="shared" si="16"/>
        <v>15.533908045977007</v>
      </c>
      <c r="AC6" s="73" t="s">
        <v>53</v>
      </c>
    </row>
    <row r="7" spans="1:29" ht="15">
      <c r="A7" s="156">
        <v>47</v>
      </c>
      <c r="B7" s="82">
        <f>F7/255</f>
        <v>0</v>
      </c>
      <c r="C7" s="86">
        <f t="shared" si="1"/>
        <v>0</v>
      </c>
      <c r="D7" s="86">
        <f t="shared" si="2"/>
        <v>0</v>
      </c>
      <c r="E7" s="4">
        <f t="shared" si="3"/>
        <v>0</v>
      </c>
      <c r="F7" s="4">
        <f>'Final Network'!C8</f>
        <v>0</v>
      </c>
      <c r="G7" s="4">
        <f>'Final Network'!E8</f>
        <v>0</v>
      </c>
      <c r="H7" s="4">
        <f>'Final Network'!G8</f>
        <v>0</v>
      </c>
      <c r="I7" s="96">
        <f t="shared" si="7"/>
        <v>0</v>
      </c>
      <c r="J7" s="100">
        <v>0</v>
      </c>
      <c r="K7" s="4">
        <v>0</v>
      </c>
      <c r="L7" s="184">
        <v>0</v>
      </c>
      <c r="M7" s="70">
        <f t="shared" si="8"/>
        <v>0</v>
      </c>
      <c r="N7" s="70">
        <f t="shared" si="4"/>
        <v>0</v>
      </c>
      <c r="O7" s="70">
        <f t="shared" si="4"/>
        <v>0</v>
      </c>
      <c r="P7" s="100">
        <f t="shared" si="9"/>
        <v>0</v>
      </c>
      <c r="Q7" s="4">
        <f t="shared" si="10"/>
        <v>0</v>
      </c>
      <c r="R7" s="4">
        <f t="shared" si="11"/>
        <v>0</v>
      </c>
      <c r="S7" s="4">
        <f t="shared" si="12"/>
        <v>0</v>
      </c>
      <c r="T7" s="75">
        <f t="shared" si="13"/>
        <v>0</v>
      </c>
      <c r="U7" s="95">
        <f t="shared" si="5"/>
        <v>0</v>
      </c>
      <c r="V7" s="5">
        <f t="shared" si="6"/>
        <v>0</v>
      </c>
      <c r="W7" s="1"/>
      <c r="X7" s="158" t="s">
        <v>30</v>
      </c>
      <c r="Y7" s="1" t="s">
        <v>54</v>
      </c>
      <c r="Z7" s="83">
        <f t="shared" si="14"/>
        <v>0</v>
      </c>
      <c r="AA7" s="83">
        <f t="shared" si="15"/>
        <v>0</v>
      </c>
      <c r="AB7" s="83">
        <f t="shared" si="16"/>
        <v>0</v>
      </c>
      <c r="AC7" s="73" t="s">
        <v>55</v>
      </c>
    </row>
    <row r="8" spans="1:29" ht="15">
      <c r="A8" s="155">
        <v>49</v>
      </c>
      <c r="B8" s="82">
        <f t="shared" si="0"/>
        <v>126.45098039215686</v>
      </c>
      <c r="C8" s="86">
        <f t="shared" si="1"/>
        <v>119.36538461538461</v>
      </c>
      <c r="D8" s="86">
        <f t="shared" si="2"/>
        <v>122.62068965517241</v>
      </c>
      <c r="E8" s="4">
        <f t="shared" si="3"/>
        <v>368.4370546627139</v>
      </c>
      <c r="F8" s="4">
        <v>32245</v>
      </c>
      <c r="G8" s="4">
        <v>6207</v>
      </c>
      <c r="H8" s="4">
        <v>7112</v>
      </c>
      <c r="I8" s="96">
        <f t="shared" si="7"/>
        <v>45564</v>
      </c>
      <c r="J8" s="136">
        <v>4.8798611111111105</v>
      </c>
      <c r="K8" s="146">
        <v>4.821527777777778</v>
      </c>
      <c r="L8" s="146">
        <v>4.6930555555555555</v>
      </c>
      <c r="M8" s="70">
        <f t="shared" si="8"/>
        <v>117.11666666666665</v>
      </c>
      <c r="N8" s="70">
        <f t="shared" si="4"/>
        <v>115.71666666666667</v>
      </c>
      <c r="O8" s="70">
        <f t="shared" si="4"/>
        <v>112.63333333333333</v>
      </c>
      <c r="P8" s="100">
        <f t="shared" si="9"/>
        <v>345.4666666666667</v>
      </c>
      <c r="Q8" s="4">
        <f t="shared" si="10"/>
        <v>29864.75</v>
      </c>
      <c r="R8" s="4">
        <f t="shared" si="11"/>
        <v>6017.266666666666</v>
      </c>
      <c r="S8" s="4">
        <f t="shared" si="12"/>
        <v>6532.733333333333</v>
      </c>
      <c r="T8" s="75">
        <f t="shared" si="13"/>
        <v>42414.74999999999</v>
      </c>
      <c r="U8" s="95">
        <f t="shared" si="5"/>
        <v>-3149.2500000000073</v>
      </c>
      <c r="V8" s="5">
        <f t="shared" si="6"/>
        <v>-0.06911706610481975</v>
      </c>
      <c r="W8" s="1"/>
      <c r="X8" s="158" t="s">
        <v>30</v>
      </c>
      <c r="Z8" s="83">
        <f t="shared" si="14"/>
        <v>-9.334313725490219</v>
      </c>
      <c r="AA8" s="83">
        <f t="shared" si="15"/>
        <v>-3.6487179487179446</v>
      </c>
      <c r="AB8" s="83">
        <f t="shared" si="16"/>
        <v>-9.987356321839087</v>
      </c>
      <c r="AC8" s="73" t="s">
        <v>50</v>
      </c>
    </row>
    <row r="9" spans="1:29" ht="15">
      <c r="A9" s="155">
        <v>60</v>
      </c>
      <c r="B9" s="82">
        <f t="shared" si="0"/>
        <v>225</v>
      </c>
      <c r="C9" s="86">
        <f t="shared" si="1"/>
        <v>114.46153846153847</v>
      </c>
      <c r="D9" s="86">
        <f t="shared" si="2"/>
        <v>108.79310344827586</v>
      </c>
      <c r="E9" s="4">
        <f t="shared" si="3"/>
        <v>448.2546419098143</v>
      </c>
      <c r="F9" s="4">
        <v>57375</v>
      </c>
      <c r="G9" s="4">
        <v>5952</v>
      </c>
      <c r="H9" s="4">
        <v>6310</v>
      </c>
      <c r="I9" s="96">
        <f t="shared" si="7"/>
        <v>69637</v>
      </c>
      <c r="J9" s="136">
        <v>9.893749999999999</v>
      </c>
      <c r="K9" s="146">
        <v>7.422222222222222</v>
      </c>
      <c r="L9" s="146">
        <v>7.15625</v>
      </c>
      <c r="M9" s="70">
        <f t="shared" si="8"/>
        <v>237.45</v>
      </c>
      <c r="N9" s="70">
        <f t="shared" si="4"/>
        <v>178.13333333333333</v>
      </c>
      <c r="O9" s="70">
        <f t="shared" si="4"/>
        <v>171.75</v>
      </c>
      <c r="P9" s="100">
        <f t="shared" si="9"/>
        <v>587.3333333333333</v>
      </c>
      <c r="Q9" s="4">
        <f t="shared" si="10"/>
        <v>60549.749999999985</v>
      </c>
      <c r="R9" s="4">
        <f t="shared" si="11"/>
        <v>9262.933333333332</v>
      </c>
      <c r="S9" s="4">
        <f t="shared" si="12"/>
        <v>9961.5</v>
      </c>
      <c r="T9" s="75">
        <f t="shared" si="13"/>
        <v>79774.18333333332</v>
      </c>
      <c r="U9" s="95">
        <f t="shared" si="5"/>
        <v>10137.18333333332</v>
      </c>
      <c r="V9" s="5">
        <f t="shared" si="6"/>
        <v>0.14557179851707167</v>
      </c>
      <c r="W9" s="1"/>
      <c r="X9" s="158" t="s">
        <v>30</v>
      </c>
      <c r="Z9" s="83">
        <f t="shared" si="14"/>
        <v>12.449999999999989</v>
      </c>
      <c r="AA9" s="83">
        <f t="shared" si="15"/>
        <v>63.67179487179486</v>
      </c>
      <c r="AB9" s="83">
        <f t="shared" si="16"/>
        <v>62.95689655172414</v>
      </c>
      <c r="AC9" s="73" t="s">
        <v>53</v>
      </c>
    </row>
    <row r="10" spans="1:29" ht="15">
      <c r="A10" s="155">
        <v>677</v>
      </c>
      <c r="B10" s="82">
        <f t="shared" si="0"/>
        <v>0</v>
      </c>
      <c r="C10" s="86">
        <f t="shared" si="1"/>
        <v>0</v>
      </c>
      <c r="D10" s="86">
        <f t="shared" si="2"/>
        <v>0</v>
      </c>
      <c r="E10" s="4">
        <f t="shared" si="3"/>
        <v>0</v>
      </c>
      <c r="F10" s="4"/>
      <c r="G10" s="4"/>
      <c r="H10" s="4"/>
      <c r="I10" s="96">
        <f t="shared" si="7"/>
        <v>0</v>
      </c>
      <c r="J10" s="136">
        <v>5.814583333333334</v>
      </c>
      <c r="K10" s="136">
        <v>5.748611111111111</v>
      </c>
      <c r="L10" s="136">
        <v>3.5548611111111112</v>
      </c>
      <c r="M10" s="70">
        <f t="shared" si="8"/>
        <v>139.55</v>
      </c>
      <c r="N10" s="70">
        <f t="shared" si="4"/>
        <v>137.96666666666667</v>
      </c>
      <c r="O10" s="70">
        <f t="shared" si="4"/>
        <v>85.31666666666666</v>
      </c>
      <c r="P10" s="100">
        <f t="shared" si="9"/>
        <v>362.83333333333337</v>
      </c>
      <c r="Q10" s="4">
        <f t="shared" si="10"/>
        <v>35585.25000000001</v>
      </c>
      <c r="R10" s="4">
        <f t="shared" si="11"/>
        <v>7174.266666666666</v>
      </c>
      <c r="S10" s="4">
        <f t="shared" si="12"/>
        <v>4948.366666666667</v>
      </c>
      <c r="T10" s="75">
        <f t="shared" si="13"/>
        <v>47707.883333333346</v>
      </c>
      <c r="U10" s="95">
        <f t="shared" si="5"/>
        <v>47707.883333333346</v>
      </c>
      <c r="V10" s="5">
        <f t="shared" si="6"/>
        <v>0</v>
      </c>
      <c r="W10" s="1"/>
      <c r="X10" s="158" t="s">
        <v>30</v>
      </c>
      <c r="Z10" s="83">
        <f t="shared" si="14"/>
        <v>139.55</v>
      </c>
      <c r="AA10" s="83">
        <f t="shared" si="15"/>
        <v>137.96666666666667</v>
      </c>
      <c r="AB10" s="83">
        <f t="shared" si="16"/>
        <v>85.31666666666666</v>
      </c>
      <c r="AC10" s="73" t="s">
        <v>56</v>
      </c>
    </row>
    <row r="11" spans="1:30" s="94" customFormat="1" ht="15">
      <c r="A11" s="89" t="s">
        <v>57</v>
      </c>
      <c r="B11" s="92">
        <f aca="true" t="shared" si="17" ref="B11:I11">SUM(B3:B10)</f>
        <v>862.5176470588235</v>
      </c>
      <c r="C11" s="92">
        <f t="shared" si="17"/>
        <v>540.2692307692308</v>
      </c>
      <c r="D11" s="92">
        <f t="shared" si="17"/>
        <v>530.0862068965516</v>
      </c>
      <c r="E11" s="92">
        <f t="shared" si="17"/>
        <v>1932.873084724606</v>
      </c>
      <c r="F11" s="92">
        <f t="shared" si="17"/>
        <v>219942</v>
      </c>
      <c r="G11" s="92">
        <f t="shared" si="17"/>
        <v>28094</v>
      </c>
      <c r="H11" s="92">
        <f t="shared" si="17"/>
        <v>30745</v>
      </c>
      <c r="I11" s="92">
        <f t="shared" si="17"/>
        <v>278781</v>
      </c>
      <c r="Q11" s="92">
        <f>SUM(Q3:Q10)</f>
        <v>244341</v>
      </c>
      <c r="R11" s="92">
        <f>SUM(R3:R10)</f>
        <v>40154.399999999994</v>
      </c>
      <c r="S11" s="92">
        <f>SUM(S3:S10)</f>
        <v>40472.4</v>
      </c>
      <c r="T11" s="92">
        <f>SUM(T3:T10)</f>
        <v>324967.8</v>
      </c>
      <c r="U11" s="92"/>
      <c r="V11" s="92"/>
      <c r="W11" s="92"/>
      <c r="X11" s="159"/>
      <c r="Y11" s="93"/>
      <c r="AD11"/>
    </row>
    <row r="12" ht="15">
      <c r="A12" s="2"/>
    </row>
    <row r="13" spans="23:29" ht="15">
      <c r="W13" s="3"/>
      <c r="X13" s="160"/>
      <c r="Y13" s="85"/>
      <c r="Z13" t="s">
        <v>58</v>
      </c>
      <c r="AA13" s="83">
        <f aca="true" t="shared" si="18" ref="AA13:AC19">SUMIF($AC$3:$AC$10,$Z13,Z$3:Z$10)</f>
        <v>0</v>
      </c>
      <c r="AB13" s="83">
        <f t="shared" si="18"/>
        <v>0</v>
      </c>
      <c r="AC13" s="83">
        <f t="shared" si="18"/>
        <v>0</v>
      </c>
    </row>
    <row r="14" spans="18:29" ht="15">
      <c r="R14" s="2"/>
      <c r="S14" s="3"/>
      <c r="T14" s="3"/>
      <c r="U14" s="3"/>
      <c r="V14" s="3"/>
      <c r="W14" s="3"/>
      <c r="X14" s="160"/>
      <c r="Z14" t="s">
        <v>53</v>
      </c>
      <c r="AA14" s="83">
        <f t="shared" si="18"/>
        <v>-7.250000000000014</v>
      </c>
      <c r="AB14" s="83">
        <f t="shared" si="18"/>
        <v>78.45641025641025</v>
      </c>
      <c r="AC14" s="83">
        <f t="shared" si="18"/>
        <v>78.49080459770116</v>
      </c>
    </row>
    <row r="15" spans="9:29" ht="15">
      <c r="I15" s="90"/>
      <c r="S15" s="3"/>
      <c r="T15" s="3"/>
      <c r="U15" s="3"/>
      <c r="V15" s="3"/>
      <c r="W15" s="3"/>
      <c r="X15" s="160"/>
      <c r="Z15" t="s">
        <v>52</v>
      </c>
      <c r="AA15" s="83">
        <f t="shared" si="18"/>
        <v>-4.251960784313724</v>
      </c>
      <c r="AB15" s="83">
        <f t="shared" si="18"/>
        <v>15.930769230769236</v>
      </c>
      <c r="AC15" s="83">
        <f t="shared" si="18"/>
        <v>17.688505747126435</v>
      </c>
    </row>
    <row r="16" spans="1:29" ht="15">
      <c r="A16">
        <v>10</v>
      </c>
      <c r="I16" s="91"/>
      <c r="J16" s="209">
        <v>2.384027777777778</v>
      </c>
      <c r="S16" s="3"/>
      <c r="T16" s="3"/>
      <c r="U16" s="3"/>
      <c r="V16" s="3"/>
      <c r="W16" s="3"/>
      <c r="X16" s="160"/>
      <c r="Z16" t="s">
        <v>50</v>
      </c>
      <c r="AA16" s="83">
        <f t="shared" si="18"/>
        <v>-32.36568627450983</v>
      </c>
      <c r="AB16" s="83">
        <f t="shared" si="18"/>
        <v>-0.4230769230769411</v>
      </c>
      <c r="AC16" s="83">
        <f t="shared" si="18"/>
        <v>-13.78218390804598</v>
      </c>
    </row>
    <row r="17" spans="19:29" ht="15">
      <c r="S17" s="3"/>
      <c r="T17" s="3"/>
      <c r="U17" s="3"/>
      <c r="V17" s="3"/>
      <c r="W17" s="3"/>
      <c r="X17" s="160"/>
      <c r="Z17" s="103" t="s">
        <v>59</v>
      </c>
      <c r="AA17" s="83">
        <f t="shared" si="18"/>
        <v>0</v>
      </c>
      <c r="AB17" s="83">
        <f t="shared" si="18"/>
        <v>0</v>
      </c>
      <c r="AC17" s="83">
        <f t="shared" si="18"/>
        <v>0</v>
      </c>
    </row>
    <row r="18" spans="19:29" ht="15">
      <c r="S18" s="3"/>
      <c r="T18" s="3"/>
      <c r="U18" s="3"/>
      <c r="V18" s="3"/>
      <c r="W18" s="84"/>
      <c r="X18" s="161"/>
      <c r="Z18" t="s">
        <v>56</v>
      </c>
      <c r="AA18" s="83">
        <f t="shared" si="18"/>
        <v>139.55</v>
      </c>
      <c r="AB18" s="83">
        <f t="shared" si="18"/>
        <v>137.96666666666667</v>
      </c>
      <c r="AC18" s="83">
        <f t="shared" si="18"/>
        <v>85.31666666666666</v>
      </c>
    </row>
    <row r="19" spans="19:29" ht="15">
      <c r="S19" s="84"/>
      <c r="T19" s="84"/>
      <c r="U19" s="84"/>
      <c r="V19" s="84"/>
      <c r="Z19" t="s">
        <v>60</v>
      </c>
      <c r="AA19" s="83">
        <f t="shared" si="18"/>
        <v>0</v>
      </c>
      <c r="AB19" s="83">
        <f t="shared" si="18"/>
        <v>0</v>
      </c>
      <c r="AC19" s="83">
        <f t="shared" si="18"/>
        <v>0</v>
      </c>
    </row>
    <row r="20" spans="23:29" ht="15">
      <c r="W20" s="84"/>
      <c r="X20" s="161"/>
      <c r="AA20" s="83">
        <f>SUM(AA13:AA19)</f>
        <v>95.68235294117645</v>
      </c>
      <c r="AB20" s="83">
        <f>SUM(AB13:AB19)</f>
        <v>231.93076923076922</v>
      </c>
      <c r="AC20" s="83">
        <f>SUM(AC13:AC19)</f>
        <v>167.71379310344827</v>
      </c>
    </row>
    <row r="21" spans="21:29" ht="15">
      <c r="U21" s="87"/>
      <c r="V21" s="84"/>
      <c r="W21" s="84"/>
      <c r="X21" s="161"/>
      <c r="AA21" s="86">
        <f>AA20*255</f>
        <v>24398.999999999993</v>
      </c>
      <c r="AB21" s="86">
        <f>AB20*52</f>
        <v>12060.4</v>
      </c>
      <c r="AC21" s="86">
        <f>AC20*58</f>
        <v>9727.4</v>
      </c>
    </row>
    <row r="22" spans="17:22" ht="15">
      <c r="Q22" s="209"/>
      <c r="S22" s="166"/>
      <c r="U22" s="88"/>
      <c r="V22" s="84"/>
    </row>
    <row r="23" spans="17:27" ht="15">
      <c r="Q23" s="209"/>
      <c r="S23" s="166"/>
      <c r="AA23" s="86"/>
    </row>
    <row r="31" spans="12:15" ht="15">
      <c r="L31" s="84"/>
      <c r="M31" s="84"/>
      <c r="N31" s="84"/>
      <c r="O31" s="84"/>
    </row>
    <row r="32" spans="12:15" ht="15">
      <c r="L32" s="88"/>
      <c r="M32" s="88"/>
      <c r="N32" s="88"/>
      <c r="O32" s="88"/>
    </row>
  </sheetData>
  <mergeCells count="2">
    <mergeCell ref="B1:I1"/>
    <mergeCell ref="J1:T1"/>
  </mergeCell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CCAAE-C26B-4E52-8DC5-CE1653EE4869}">
  <dimension ref="A1:AD31"/>
  <sheetViews>
    <sheetView workbookViewId="0" topLeftCell="A1">
      <pane xSplit="1" ySplit="2" topLeftCell="B3" activePane="bottomRight" state="frozen"/>
      <selection pane="topLeft" activeCell="F366" sqref="F366"/>
      <selection pane="topRight" activeCell="F366" sqref="F366"/>
      <selection pane="bottomLeft" activeCell="F366" sqref="F366"/>
      <selection pane="bottomRight" activeCell="F366" sqref="F366"/>
    </sheetView>
  </sheetViews>
  <sheetFormatPr defaultColWidth="9.140625" defaultRowHeight="15"/>
  <cols>
    <col min="1" max="1" width="11.421875" style="0" customWidth="1"/>
    <col min="2" max="2" width="9.57421875" style="0" bestFit="1" customWidth="1"/>
    <col min="3" max="4" width="9.28125" style="0" bestFit="1" customWidth="1"/>
    <col min="5" max="5" width="9.57421875" style="0" bestFit="1" customWidth="1"/>
    <col min="6" max="6" width="11.57421875" style="0" bestFit="1" customWidth="1"/>
    <col min="7" max="8" width="10.57421875" style="0" bestFit="1" customWidth="1"/>
    <col min="9" max="9" width="11.57421875" style="0" bestFit="1" customWidth="1"/>
    <col min="10" max="10" width="10.7109375" style="0" bestFit="1" customWidth="1"/>
    <col min="11" max="13" width="9.28125" style="0" bestFit="1" customWidth="1"/>
    <col min="14" max="16" width="9.28125" style="0" customWidth="1"/>
    <col min="17" max="17" width="10.57421875" style="0" bestFit="1" customWidth="1"/>
    <col min="18" max="19" width="9.28125" style="0" bestFit="1" customWidth="1"/>
    <col min="20" max="20" width="10.57421875" style="0" bestFit="1" customWidth="1"/>
    <col min="21" max="21" width="12.7109375" style="0" bestFit="1" customWidth="1"/>
    <col min="22" max="22" width="12.7109375" style="0" customWidth="1"/>
    <col min="23" max="23" width="22.28125" style="0" customWidth="1"/>
    <col min="24" max="24" width="18.57421875" style="2" customWidth="1"/>
    <col min="25" max="25" width="26.28125" style="1" customWidth="1"/>
    <col min="26" max="26" width="16.8515625" style="0" bestFit="1" customWidth="1"/>
    <col min="27" max="27" width="15.57421875" style="0" customWidth="1"/>
    <col min="28" max="28" width="13.7109375" style="0" customWidth="1"/>
    <col min="29" max="29" width="12.28125" style="0" customWidth="1"/>
  </cols>
  <sheetData>
    <row r="1" spans="2:20" ht="18" thickBot="1">
      <c r="B1" s="237" t="s">
        <v>32</v>
      </c>
      <c r="C1" s="238"/>
      <c r="D1" s="238"/>
      <c r="E1" s="238"/>
      <c r="F1" s="238"/>
      <c r="G1" s="238"/>
      <c r="H1" s="238"/>
      <c r="I1" s="239"/>
      <c r="J1" s="240"/>
      <c r="K1" s="240"/>
      <c r="L1" s="240"/>
      <c r="M1" s="240"/>
      <c r="N1" s="240"/>
      <c r="O1" s="240"/>
      <c r="P1" s="240"/>
      <c r="Q1" s="240"/>
      <c r="R1" s="240"/>
      <c r="S1" s="240"/>
      <c r="T1" s="240"/>
    </row>
    <row r="2" spans="1:29" s="1" customFormat="1" ht="60">
      <c r="A2" s="102" t="s">
        <v>33</v>
      </c>
      <c r="B2" s="111" t="s">
        <v>34</v>
      </c>
      <c r="C2" s="112" t="s">
        <v>35</v>
      </c>
      <c r="D2" s="112" t="s">
        <v>36</v>
      </c>
      <c r="E2" s="112" t="s">
        <v>28</v>
      </c>
      <c r="F2" s="112" t="s">
        <v>37</v>
      </c>
      <c r="G2" s="112" t="s">
        <v>38</v>
      </c>
      <c r="H2" s="112" t="s">
        <v>39</v>
      </c>
      <c r="I2" s="113" t="s">
        <v>40</v>
      </c>
      <c r="J2" s="131" t="s">
        <v>34</v>
      </c>
      <c r="K2" s="115" t="s">
        <v>35</v>
      </c>
      <c r="L2" s="116" t="s">
        <v>36</v>
      </c>
      <c r="M2" s="114" t="s">
        <v>28</v>
      </c>
      <c r="N2" s="131" t="s">
        <v>34</v>
      </c>
      <c r="O2" s="115" t="s">
        <v>35</v>
      </c>
      <c r="P2" s="116" t="s">
        <v>36</v>
      </c>
      <c r="Q2" s="115" t="s">
        <v>37</v>
      </c>
      <c r="R2" s="115" t="s">
        <v>38</v>
      </c>
      <c r="S2" s="115" t="s">
        <v>39</v>
      </c>
      <c r="T2" s="115" t="s">
        <v>40</v>
      </c>
      <c r="U2" s="101" t="s">
        <v>41</v>
      </c>
      <c r="V2" s="98" t="s">
        <v>42</v>
      </c>
      <c r="W2" s="98" t="s">
        <v>43</v>
      </c>
      <c r="X2" s="157" t="s">
        <v>44</v>
      </c>
      <c r="Y2" s="98" t="s">
        <v>45</v>
      </c>
      <c r="Z2" s="98" t="s">
        <v>46</v>
      </c>
      <c r="AA2" s="98" t="s">
        <v>47</v>
      </c>
      <c r="AB2" s="98" t="s">
        <v>48</v>
      </c>
      <c r="AC2" s="99" t="s">
        <v>49</v>
      </c>
    </row>
    <row r="3" spans="1:29" ht="15">
      <c r="A3" s="155" t="s">
        <v>9</v>
      </c>
      <c r="B3" s="82">
        <f aca="true" t="shared" si="0" ref="B3:B10">F3/255</f>
        <v>284.0156862745098</v>
      </c>
      <c r="C3" s="86">
        <f aca="true" t="shared" si="1" ref="C3:C10">G3/52</f>
        <v>160.30769230769232</v>
      </c>
      <c r="D3" s="86">
        <f aca="true" t="shared" si="2" ref="D3:D10">H3/58</f>
        <v>159.4655172413793</v>
      </c>
      <c r="E3" s="4">
        <f aca="true" t="shared" si="3" ref="E3:E10">SUM(B3:D3)</f>
        <v>603.7888958235815</v>
      </c>
      <c r="F3" s="4">
        <v>72424</v>
      </c>
      <c r="G3" s="4">
        <v>8336</v>
      </c>
      <c r="H3" s="4">
        <v>9249</v>
      </c>
      <c r="I3" s="96">
        <f>'Project Budget'!E4</f>
        <v>90009</v>
      </c>
      <c r="J3" s="136">
        <v>11.563194444444445</v>
      </c>
      <c r="K3" s="136">
        <v>6.892361111111111</v>
      </c>
      <c r="L3" s="136">
        <v>6.622222222222223</v>
      </c>
      <c r="M3" s="100">
        <f>SUM(J3,K3,L3)*24</f>
        <v>601.8666666666667</v>
      </c>
      <c r="N3" s="4">
        <f>J3*24</f>
        <v>277.51666666666665</v>
      </c>
      <c r="O3" s="4">
        <f aca="true" t="shared" si="4" ref="O3:P11">K3*24</f>
        <v>165.41666666666666</v>
      </c>
      <c r="P3" s="4">
        <f t="shared" si="4"/>
        <v>158.93333333333334</v>
      </c>
      <c r="Q3" s="4">
        <f>J3*255*24</f>
        <v>70766.75</v>
      </c>
      <c r="R3" s="4">
        <f>K3*52*24</f>
        <v>8601.666666666666</v>
      </c>
      <c r="S3" s="4">
        <f>L3*58*24</f>
        <v>9218.133333333333</v>
      </c>
      <c r="T3" s="75">
        <f>SUM(Q3:S3)</f>
        <v>88586.55</v>
      </c>
      <c r="U3" s="95">
        <f aca="true" t="shared" si="5" ref="U3:U10">T3-I3</f>
        <v>-1422.449999999997</v>
      </c>
      <c r="V3" s="5">
        <f aca="true" t="shared" si="6" ref="V3:V10">_xlfn.IFERROR(((T3-I3)/I3),0)</f>
        <v>-0.015803419658034164</v>
      </c>
      <c r="W3" s="1"/>
      <c r="X3" s="158" t="s">
        <v>30</v>
      </c>
      <c r="Z3" s="83">
        <f>N3-B3</f>
        <v>-6.499019607843138</v>
      </c>
      <c r="AA3" s="83">
        <f>O3-C3</f>
        <v>5.108974358974336</v>
      </c>
      <c r="AB3" s="83">
        <f>P3-D3</f>
        <v>-0.5321839080459654</v>
      </c>
      <c r="AC3" s="73" t="s">
        <v>50</v>
      </c>
    </row>
    <row r="4" spans="1:29" ht="15">
      <c r="A4" s="155">
        <v>10</v>
      </c>
      <c r="B4" s="82">
        <f>F4/255</f>
        <v>73.74901960784314</v>
      </c>
      <c r="C4" s="86">
        <f t="shared" si="1"/>
        <v>58</v>
      </c>
      <c r="D4" s="86">
        <f t="shared" si="2"/>
        <v>55.87931034482759</v>
      </c>
      <c r="E4" s="4">
        <f t="shared" si="3"/>
        <v>187.62832995267073</v>
      </c>
      <c r="F4" s="4">
        <v>18806</v>
      </c>
      <c r="G4" s="4">
        <v>3016</v>
      </c>
      <c r="H4" s="4">
        <v>3241</v>
      </c>
      <c r="I4" s="96">
        <f aca="true" t="shared" si="7" ref="I4:I10">SUM(F4:H4)</f>
        <v>25063</v>
      </c>
      <c r="J4" s="136">
        <v>2.384027777777778</v>
      </c>
      <c r="K4" s="136">
        <v>2.3381944444444445</v>
      </c>
      <c r="L4" s="136">
        <v>2.192361111111111</v>
      </c>
      <c r="M4" s="100">
        <f aca="true" t="shared" si="8" ref="M4:M10">SUM(J4,K4,L4)*24</f>
        <v>165.95</v>
      </c>
      <c r="N4" s="4">
        <f aca="true" t="shared" si="9" ref="N4:N11">J4*24</f>
        <v>57.21666666666667</v>
      </c>
      <c r="O4" s="4">
        <f t="shared" si="4"/>
        <v>56.11666666666667</v>
      </c>
      <c r="P4" s="4">
        <f t="shared" si="4"/>
        <v>52.61666666666666</v>
      </c>
      <c r="Q4" s="4">
        <f aca="true" t="shared" si="10" ref="Q4:Q10">J4*255*24</f>
        <v>14590.25</v>
      </c>
      <c r="R4" s="4">
        <f aca="true" t="shared" si="11" ref="R4:R10">K4*52*24</f>
        <v>2918.0666666666666</v>
      </c>
      <c r="S4" s="4">
        <f aca="true" t="shared" si="12" ref="S4:S10">L4*58*24</f>
        <v>3051.7666666666664</v>
      </c>
      <c r="T4" s="75">
        <f aca="true" t="shared" si="13" ref="T4:T10">SUM(Q4:S4)</f>
        <v>20560.083333333332</v>
      </c>
      <c r="U4" s="95">
        <f t="shared" si="5"/>
        <v>-4502.916666666668</v>
      </c>
      <c r="V4" s="5">
        <f t="shared" si="6"/>
        <v>-0.17966391360438366</v>
      </c>
      <c r="W4" s="1"/>
      <c r="X4" s="158" t="s">
        <v>30</v>
      </c>
      <c r="Z4" s="83">
        <f aca="true" t="shared" si="14" ref="Z4:Z10">N4-B4</f>
        <v>-16.53235294117647</v>
      </c>
      <c r="AA4" s="83">
        <f aca="true" t="shared" si="15" ref="AA4:AA10">O4-C4</f>
        <v>-1.8833333333333329</v>
      </c>
      <c r="AB4" s="83">
        <f aca="true" t="shared" si="16" ref="AB4:AB10">P4-D4</f>
        <v>-3.262643678160927</v>
      </c>
      <c r="AC4" s="73" t="s">
        <v>51</v>
      </c>
    </row>
    <row r="5" spans="1:29" ht="15">
      <c r="A5" s="155">
        <v>11</v>
      </c>
      <c r="B5" s="82">
        <f t="shared" si="0"/>
        <v>80.76862745098039</v>
      </c>
      <c r="C5" s="86">
        <f t="shared" si="1"/>
        <v>51.01923076923077</v>
      </c>
      <c r="D5" s="86">
        <f t="shared" si="2"/>
        <v>46.3448275862069</v>
      </c>
      <c r="E5" s="4">
        <f t="shared" si="3"/>
        <v>178.13268580641804</v>
      </c>
      <c r="F5" s="4">
        <v>20596</v>
      </c>
      <c r="G5" s="4">
        <v>2653</v>
      </c>
      <c r="H5" s="4">
        <v>2688</v>
      </c>
      <c r="I5" s="96">
        <f t="shared" si="7"/>
        <v>25937</v>
      </c>
      <c r="J5" s="136">
        <v>3.1881944444444446</v>
      </c>
      <c r="K5" s="136">
        <v>2.7895833333333333</v>
      </c>
      <c r="L5" s="136">
        <v>2.6680555555555556</v>
      </c>
      <c r="M5" s="100">
        <f t="shared" si="8"/>
        <v>207.5</v>
      </c>
      <c r="N5" s="4">
        <f t="shared" si="9"/>
        <v>76.51666666666667</v>
      </c>
      <c r="O5" s="4">
        <f t="shared" si="4"/>
        <v>66.95</v>
      </c>
      <c r="P5" s="4">
        <f t="shared" si="4"/>
        <v>64.03333333333333</v>
      </c>
      <c r="Q5" s="4">
        <f t="shared" si="10"/>
        <v>19511.75</v>
      </c>
      <c r="R5" s="4">
        <f t="shared" si="11"/>
        <v>3481.4</v>
      </c>
      <c r="S5" s="4">
        <f t="shared" si="12"/>
        <v>3713.9333333333334</v>
      </c>
      <c r="T5" s="75">
        <f t="shared" si="13"/>
        <v>26707.083333333336</v>
      </c>
      <c r="U5" s="95">
        <f t="shared" si="5"/>
        <v>770.0833333333358</v>
      </c>
      <c r="V5" s="5">
        <f t="shared" si="6"/>
        <v>0.02969053218696595</v>
      </c>
      <c r="W5" s="1"/>
      <c r="X5" s="158" t="s">
        <v>30</v>
      </c>
      <c r="Y5"/>
      <c r="Z5" s="83">
        <f t="shared" si="14"/>
        <v>-4.251960784313724</v>
      </c>
      <c r="AA5" s="83">
        <f t="shared" si="15"/>
        <v>15.930769230769236</v>
      </c>
      <c r="AB5" s="83">
        <f t="shared" si="16"/>
        <v>17.688505747126435</v>
      </c>
      <c r="AC5" s="73" t="s">
        <v>52</v>
      </c>
    </row>
    <row r="6" spans="1:29" ht="15">
      <c r="A6" s="155">
        <v>12</v>
      </c>
      <c r="B6" s="82">
        <f t="shared" si="0"/>
        <v>72.53333333333333</v>
      </c>
      <c r="C6" s="86">
        <f t="shared" si="1"/>
        <v>37.11538461538461</v>
      </c>
      <c r="D6" s="86">
        <f t="shared" si="2"/>
        <v>36.98275862068966</v>
      </c>
      <c r="E6" s="4">
        <f t="shared" si="3"/>
        <v>146.6314765694076</v>
      </c>
      <c r="F6" s="4">
        <v>18496</v>
      </c>
      <c r="G6" s="4">
        <v>1930</v>
      </c>
      <c r="H6" s="4">
        <v>2145</v>
      </c>
      <c r="I6" s="96">
        <f t="shared" si="7"/>
        <v>22571</v>
      </c>
      <c r="J6" s="141">
        <v>2.201388888888889</v>
      </c>
      <c r="K6" s="136">
        <v>2.1625</v>
      </c>
      <c r="L6" s="143">
        <v>2.1881944444444446</v>
      </c>
      <c r="M6" s="100">
        <f t="shared" si="8"/>
        <v>157.25</v>
      </c>
      <c r="N6" s="4">
        <f t="shared" si="9"/>
        <v>52.83333333333333</v>
      </c>
      <c r="O6" s="4">
        <f t="shared" si="4"/>
        <v>51.900000000000006</v>
      </c>
      <c r="P6" s="4">
        <f t="shared" si="4"/>
        <v>52.516666666666666</v>
      </c>
      <c r="Q6" s="4">
        <f t="shared" si="10"/>
        <v>13472.5</v>
      </c>
      <c r="R6" s="4">
        <f t="shared" si="11"/>
        <v>2698.8</v>
      </c>
      <c r="S6" s="4">
        <f t="shared" si="12"/>
        <v>3045.966666666667</v>
      </c>
      <c r="T6" s="75">
        <f t="shared" si="13"/>
        <v>19217.266666666666</v>
      </c>
      <c r="U6" s="95">
        <f t="shared" si="5"/>
        <v>-3353.7333333333336</v>
      </c>
      <c r="V6" s="5">
        <f t="shared" si="6"/>
        <v>-0.14858594361496316</v>
      </c>
      <c r="W6" s="1"/>
      <c r="X6" s="158" t="s">
        <v>30</v>
      </c>
      <c r="Z6" s="83">
        <f t="shared" si="14"/>
        <v>-19.700000000000003</v>
      </c>
      <c r="AA6" s="83">
        <f t="shared" si="15"/>
        <v>14.784615384615392</v>
      </c>
      <c r="AB6" s="83">
        <f t="shared" si="16"/>
        <v>15.533908045977007</v>
      </c>
      <c r="AC6" s="73" t="s">
        <v>51</v>
      </c>
    </row>
    <row r="7" spans="1:29" ht="15">
      <c r="A7" s="156">
        <v>47</v>
      </c>
      <c r="B7" s="82">
        <f>F7/255</f>
        <v>0</v>
      </c>
      <c r="C7" s="86">
        <f t="shared" si="1"/>
        <v>0</v>
      </c>
      <c r="D7" s="86">
        <f t="shared" si="2"/>
        <v>0</v>
      </c>
      <c r="E7" s="4">
        <f t="shared" si="3"/>
        <v>0</v>
      </c>
      <c r="F7" s="4">
        <f>'Final Network'!C8</f>
        <v>0</v>
      </c>
      <c r="G7" s="4">
        <f>'Final Network'!E8</f>
        <v>0</v>
      </c>
      <c r="H7" s="4">
        <f>'Final Network'!G8</f>
        <v>0</v>
      </c>
      <c r="I7" s="96">
        <f t="shared" si="7"/>
        <v>0</v>
      </c>
      <c r="J7" s="100">
        <v>0</v>
      </c>
      <c r="K7" s="4">
        <v>0</v>
      </c>
      <c r="L7" s="184">
        <v>0</v>
      </c>
      <c r="M7" s="100">
        <f t="shared" si="8"/>
        <v>0</v>
      </c>
      <c r="N7" s="4">
        <f t="shared" si="9"/>
        <v>0</v>
      </c>
      <c r="O7" s="4">
        <f t="shared" si="4"/>
        <v>0</v>
      </c>
      <c r="P7" s="4">
        <f t="shared" si="4"/>
        <v>0</v>
      </c>
      <c r="Q7" s="4">
        <f t="shared" si="10"/>
        <v>0</v>
      </c>
      <c r="R7" s="4">
        <f t="shared" si="11"/>
        <v>0</v>
      </c>
      <c r="S7" s="4">
        <f t="shared" si="12"/>
        <v>0</v>
      </c>
      <c r="T7" s="75">
        <f t="shared" si="13"/>
        <v>0</v>
      </c>
      <c r="U7" s="95">
        <f t="shared" si="5"/>
        <v>0</v>
      </c>
      <c r="V7" s="5">
        <f t="shared" si="6"/>
        <v>0</v>
      </c>
      <c r="W7" s="1"/>
      <c r="X7" s="158" t="s">
        <v>30</v>
      </c>
      <c r="Y7" s="1" t="s">
        <v>54</v>
      </c>
      <c r="Z7" s="83">
        <f t="shared" si="14"/>
        <v>0</v>
      </c>
      <c r="AA7" s="83">
        <f t="shared" si="15"/>
        <v>0</v>
      </c>
      <c r="AB7" s="83">
        <f t="shared" si="16"/>
        <v>0</v>
      </c>
      <c r="AC7" s="73" t="s">
        <v>55</v>
      </c>
    </row>
    <row r="8" spans="1:29" ht="15">
      <c r="A8" s="155">
        <v>49</v>
      </c>
      <c r="B8" s="82">
        <f t="shared" si="0"/>
        <v>126.45098039215686</v>
      </c>
      <c r="C8" s="86">
        <f t="shared" si="1"/>
        <v>119.36538461538461</v>
      </c>
      <c r="D8" s="86">
        <f t="shared" si="2"/>
        <v>122.62068965517241</v>
      </c>
      <c r="E8" s="4">
        <f t="shared" si="3"/>
        <v>368.4370546627139</v>
      </c>
      <c r="F8" s="4">
        <v>32245</v>
      </c>
      <c r="G8" s="4">
        <v>6207</v>
      </c>
      <c r="H8" s="4">
        <v>7112</v>
      </c>
      <c r="I8" s="96">
        <f t="shared" si="7"/>
        <v>45564</v>
      </c>
      <c r="J8" s="136">
        <v>4.8798611111111105</v>
      </c>
      <c r="K8" s="146">
        <v>4.821527777777778</v>
      </c>
      <c r="L8" s="146">
        <v>4.6930555555555555</v>
      </c>
      <c r="M8" s="100">
        <f t="shared" si="8"/>
        <v>345.4666666666667</v>
      </c>
      <c r="N8" s="4">
        <f t="shared" si="9"/>
        <v>117.11666666666665</v>
      </c>
      <c r="O8" s="4">
        <f t="shared" si="4"/>
        <v>115.71666666666667</v>
      </c>
      <c r="P8" s="4">
        <f t="shared" si="4"/>
        <v>112.63333333333333</v>
      </c>
      <c r="Q8" s="4">
        <f t="shared" si="10"/>
        <v>29864.75</v>
      </c>
      <c r="R8" s="4">
        <f t="shared" si="11"/>
        <v>6017.266666666666</v>
      </c>
      <c r="S8" s="4">
        <f t="shared" si="12"/>
        <v>6532.733333333333</v>
      </c>
      <c r="T8" s="75">
        <f t="shared" si="13"/>
        <v>42414.74999999999</v>
      </c>
      <c r="U8" s="95">
        <f t="shared" si="5"/>
        <v>-3149.2500000000073</v>
      </c>
      <c r="V8" s="5">
        <f t="shared" si="6"/>
        <v>-0.06911706610481975</v>
      </c>
      <c r="W8" s="1"/>
      <c r="X8" s="158" t="s">
        <v>30</v>
      </c>
      <c r="Z8" s="83">
        <f t="shared" si="14"/>
        <v>-9.334313725490219</v>
      </c>
      <c r="AA8" s="83">
        <f t="shared" si="15"/>
        <v>-3.6487179487179446</v>
      </c>
      <c r="AB8" s="83">
        <f t="shared" si="16"/>
        <v>-9.987356321839087</v>
      </c>
      <c r="AC8" s="73" t="s">
        <v>50</v>
      </c>
    </row>
    <row r="9" spans="1:29" ht="15">
      <c r="A9" s="155">
        <v>60</v>
      </c>
      <c r="B9" s="82">
        <f t="shared" si="0"/>
        <v>225</v>
      </c>
      <c r="C9" s="86">
        <f t="shared" si="1"/>
        <v>114.46153846153847</v>
      </c>
      <c r="D9" s="86">
        <f t="shared" si="2"/>
        <v>108.79310344827586</v>
      </c>
      <c r="E9" s="4">
        <f t="shared" si="3"/>
        <v>448.2546419098143</v>
      </c>
      <c r="F9" s="4">
        <v>57375</v>
      </c>
      <c r="G9" s="4">
        <v>5952</v>
      </c>
      <c r="H9" s="4">
        <v>6310</v>
      </c>
      <c r="I9" s="96">
        <f t="shared" si="7"/>
        <v>69637</v>
      </c>
      <c r="J9" s="136">
        <v>9.893749999999999</v>
      </c>
      <c r="K9" s="146">
        <v>7.422222222222222</v>
      </c>
      <c r="L9" s="146">
        <v>7.15625</v>
      </c>
      <c r="M9" s="100">
        <f t="shared" si="8"/>
        <v>587.3333333333333</v>
      </c>
      <c r="N9" s="4">
        <f t="shared" si="9"/>
        <v>237.45</v>
      </c>
      <c r="O9" s="4">
        <f t="shared" si="4"/>
        <v>178.13333333333333</v>
      </c>
      <c r="P9" s="4">
        <f t="shared" si="4"/>
        <v>171.75</v>
      </c>
      <c r="Q9" s="4">
        <f t="shared" si="10"/>
        <v>60549.749999999985</v>
      </c>
      <c r="R9" s="4">
        <f t="shared" si="11"/>
        <v>9262.933333333332</v>
      </c>
      <c r="S9" s="4">
        <f t="shared" si="12"/>
        <v>9961.5</v>
      </c>
      <c r="T9" s="75">
        <f t="shared" si="13"/>
        <v>79774.18333333332</v>
      </c>
      <c r="U9" s="95">
        <f t="shared" si="5"/>
        <v>10137.18333333332</v>
      </c>
      <c r="V9" s="5">
        <f t="shared" si="6"/>
        <v>0.14557179851707167</v>
      </c>
      <c r="W9" s="1"/>
      <c r="X9" s="158" t="s">
        <v>30</v>
      </c>
      <c r="Z9" s="83">
        <f t="shared" si="14"/>
        <v>12.449999999999989</v>
      </c>
      <c r="AA9" s="83">
        <f t="shared" si="15"/>
        <v>63.67179487179486</v>
      </c>
      <c r="AB9" s="83">
        <f t="shared" si="16"/>
        <v>62.95689655172414</v>
      </c>
      <c r="AC9" s="73" t="s">
        <v>53</v>
      </c>
    </row>
    <row r="10" spans="1:29" ht="15">
      <c r="A10" s="155">
        <v>677</v>
      </c>
      <c r="B10" s="82">
        <f t="shared" si="0"/>
        <v>0</v>
      </c>
      <c r="C10" s="86">
        <f t="shared" si="1"/>
        <v>0</v>
      </c>
      <c r="D10" s="86">
        <f t="shared" si="2"/>
        <v>0</v>
      </c>
      <c r="E10" s="4">
        <f t="shared" si="3"/>
        <v>0</v>
      </c>
      <c r="F10" s="4"/>
      <c r="G10" s="4"/>
      <c r="H10" s="4"/>
      <c r="I10" s="96">
        <f t="shared" si="7"/>
        <v>0</v>
      </c>
      <c r="J10" s="136">
        <v>5.814583333333334</v>
      </c>
      <c r="K10" s="136">
        <v>5.748611111111111</v>
      </c>
      <c r="L10" s="136">
        <v>3.5548611111111112</v>
      </c>
      <c r="M10" s="100">
        <f t="shared" si="8"/>
        <v>362.83333333333337</v>
      </c>
      <c r="N10" s="4">
        <f t="shared" si="9"/>
        <v>139.55</v>
      </c>
      <c r="O10" s="4">
        <f t="shared" si="4"/>
        <v>137.96666666666667</v>
      </c>
      <c r="P10" s="4">
        <f t="shared" si="4"/>
        <v>85.31666666666666</v>
      </c>
      <c r="Q10" s="4">
        <f t="shared" si="10"/>
        <v>35585.25000000001</v>
      </c>
      <c r="R10" s="4">
        <f t="shared" si="11"/>
        <v>7174.266666666666</v>
      </c>
      <c r="S10" s="4">
        <f t="shared" si="12"/>
        <v>4948.366666666667</v>
      </c>
      <c r="T10" s="75">
        <f t="shared" si="13"/>
        <v>47707.883333333346</v>
      </c>
      <c r="U10" s="95">
        <f t="shared" si="5"/>
        <v>47707.883333333346</v>
      </c>
      <c r="V10" s="5">
        <f t="shared" si="6"/>
        <v>0</v>
      </c>
      <c r="W10" s="1"/>
      <c r="X10" s="158" t="s">
        <v>30</v>
      </c>
      <c r="Z10" s="83">
        <f t="shared" si="14"/>
        <v>139.55</v>
      </c>
      <c r="AA10" s="83">
        <f t="shared" si="15"/>
        <v>137.96666666666667</v>
      </c>
      <c r="AB10" s="83">
        <f t="shared" si="16"/>
        <v>85.31666666666666</v>
      </c>
      <c r="AC10" s="73" t="s">
        <v>56</v>
      </c>
    </row>
    <row r="11" spans="1:30" s="94" customFormat="1" ht="15">
      <c r="A11" s="89" t="s">
        <v>57</v>
      </c>
      <c r="B11" s="92">
        <f aca="true" t="shared" si="17" ref="B11:M11">SUM(B3:B10)</f>
        <v>862.5176470588235</v>
      </c>
      <c r="C11" s="92">
        <f t="shared" si="17"/>
        <v>540.2692307692308</v>
      </c>
      <c r="D11" s="92">
        <f t="shared" si="17"/>
        <v>530.0862068965516</v>
      </c>
      <c r="E11" s="92">
        <f t="shared" si="17"/>
        <v>1932.873084724606</v>
      </c>
      <c r="F11" s="92">
        <f t="shared" si="17"/>
        <v>219942</v>
      </c>
      <c r="G11" s="92">
        <f t="shared" si="17"/>
        <v>28094</v>
      </c>
      <c r="H11" s="92">
        <f t="shared" si="17"/>
        <v>30745</v>
      </c>
      <c r="I11" s="92">
        <f t="shared" si="17"/>
        <v>278781</v>
      </c>
      <c r="J11" s="213">
        <f>SUM(J3:J10)</f>
        <v>39.925</v>
      </c>
      <c r="K11" s="213">
        <f t="shared" si="17"/>
        <v>32.175</v>
      </c>
      <c r="L11" s="213">
        <f t="shared" si="17"/>
        <v>29.075000000000003</v>
      </c>
      <c r="M11" s="92">
        <f t="shared" si="17"/>
        <v>2428.2000000000003</v>
      </c>
      <c r="N11" s="4">
        <f t="shared" si="9"/>
        <v>958.1999999999999</v>
      </c>
      <c r="O11" s="4">
        <f t="shared" si="4"/>
        <v>772.1999999999999</v>
      </c>
      <c r="P11" s="4">
        <f t="shared" si="4"/>
        <v>697.8000000000001</v>
      </c>
      <c r="Q11" s="92">
        <f>SUM(Q3:Q10)</f>
        <v>244341</v>
      </c>
      <c r="R11" s="92">
        <f>SUM(R3:R10)</f>
        <v>40154.399999999994</v>
      </c>
      <c r="S11" s="92">
        <f>SUM(S3:S10)</f>
        <v>40472.4</v>
      </c>
      <c r="T11" s="92">
        <f>SUM(T3:T10)</f>
        <v>324967.8</v>
      </c>
      <c r="U11" s="92"/>
      <c r="V11" s="92"/>
      <c r="W11" s="92"/>
      <c r="X11" s="159"/>
      <c r="Y11" s="93"/>
      <c r="AD11"/>
    </row>
    <row r="12" spans="23:29" ht="15">
      <c r="W12" s="3"/>
      <c r="X12" s="160"/>
      <c r="Y12" s="85"/>
      <c r="Z12" t="s">
        <v>58</v>
      </c>
      <c r="AA12" s="83">
        <f aca="true" t="shared" si="18" ref="AA12:AC18">SUMIF($AC$3:$AC$10,$Z12,Z$3:Z$10)</f>
        <v>0</v>
      </c>
      <c r="AB12" s="83">
        <f t="shared" si="18"/>
        <v>0</v>
      </c>
      <c r="AC12" s="83">
        <f t="shared" si="18"/>
        <v>0</v>
      </c>
    </row>
    <row r="13" spans="18:29" ht="15">
      <c r="R13" s="2"/>
      <c r="S13" s="3"/>
      <c r="T13" s="3"/>
      <c r="U13" s="3"/>
      <c r="V13" s="3"/>
      <c r="W13" s="3"/>
      <c r="X13" s="160"/>
      <c r="Z13" t="s">
        <v>53</v>
      </c>
      <c r="AA13" s="83">
        <f t="shared" si="18"/>
        <v>12.449999999999989</v>
      </c>
      <c r="AB13" s="83">
        <f t="shared" si="18"/>
        <v>63.67179487179486</v>
      </c>
      <c r="AC13" s="83">
        <f t="shared" si="18"/>
        <v>62.95689655172414</v>
      </c>
    </row>
    <row r="14" spans="9:29" ht="15">
      <c r="I14" s="90"/>
      <c r="S14" s="3"/>
      <c r="T14" s="3"/>
      <c r="U14" s="3"/>
      <c r="V14" s="3"/>
      <c r="W14" s="3"/>
      <c r="X14" s="160"/>
      <c r="Z14" t="s">
        <v>52</v>
      </c>
      <c r="AA14" s="83">
        <f t="shared" si="18"/>
        <v>-4.251960784313724</v>
      </c>
      <c r="AB14" s="83">
        <f t="shared" si="18"/>
        <v>15.930769230769236</v>
      </c>
      <c r="AC14" s="83">
        <f t="shared" si="18"/>
        <v>17.688505747126435</v>
      </c>
    </row>
    <row r="15" spans="9:29" ht="15">
      <c r="I15" s="91"/>
      <c r="S15" s="3"/>
      <c r="T15" s="3"/>
      <c r="U15" s="3"/>
      <c r="V15" s="3"/>
      <c r="W15" s="3"/>
      <c r="X15" s="160"/>
      <c r="Z15" t="s">
        <v>50</v>
      </c>
      <c r="AA15" s="83">
        <f t="shared" si="18"/>
        <v>-52.06568627450983</v>
      </c>
      <c r="AB15" s="83">
        <f t="shared" si="18"/>
        <v>14.361538461538451</v>
      </c>
      <c r="AC15" s="83">
        <f t="shared" si="18"/>
        <v>1.7517241379310278</v>
      </c>
    </row>
    <row r="16" spans="19:29" ht="15">
      <c r="S16" s="3"/>
      <c r="T16" s="3"/>
      <c r="U16" s="3"/>
      <c r="V16" s="3"/>
      <c r="W16" s="3"/>
      <c r="X16" s="160"/>
      <c r="Z16" s="103" t="s">
        <v>59</v>
      </c>
      <c r="AA16" s="83">
        <f t="shared" si="18"/>
        <v>0</v>
      </c>
      <c r="AB16" s="83">
        <f t="shared" si="18"/>
        <v>0</v>
      </c>
      <c r="AC16" s="83">
        <f t="shared" si="18"/>
        <v>0</v>
      </c>
    </row>
    <row r="17" spans="19:29" ht="15">
      <c r="S17" s="3"/>
      <c r="T17" s="3"/>
      <c r="U17" s="3"/>
      <c r="V17" s="3"/>
      <c r="W17" s="84"/>
      <c r="X17" s="161"/>
      <c r="Z17" t="s">
        <v>56</v>
      </c>
      <c r="AA17" s="83">
        <f t="shared" si="18"/>
        <v>139.55</v>
      </c>
      <c r="AB17" s="83">
        <f t="shared" si="18"/>
        <v>137.96666666666667</v>
      </c>
      <c r="AC17" s="83">
        <f t="shared" si="18"/>
        <v>85.31666666666666</v>
      </c>
    </row>
    <row r="18" spans="19:29" ht="15">
      <c r="S18" s="84"/>
      <c r="T18" s="84"/>
      <c r="U18" s="84"/>
      <c r="V18" s="84"/>
      <c r="Z18" t="s">
        <v>60</v>
      </c>
      <c r="AA18" s="83">
        <f t="shared" si="18"/>
        <v>0</v>
      </c>
      <c r="AB18" s="83">
        <f t="shared" si="18"/>
        <v>0</v>
      </c>
      <c r="AC18" s="83">
        <f t="shared" si="18"/>
        <v>0</v>
      </c>
    </row>
    <row r="19" spans="23:29" ht="15">
      <c r="W19" s="84"/>
      <c r="X19" s="161"/>
      <c r="AA19" s="83">
        <f>SUM(AA12:AA18)</f>
        <v>95.68235294117645</v>
      </c>
      <c r="AB19" s="83">
        <f>SUM(AB12:AB18)</f>
        <v>231.93076923076922</v>
      </c>
      <c r="AC19" s="83">
        <f>SUM(AC12:AC18)</f>
        <v>167.71379310344827</v>
      </c>
    </row>
    <row r="20" spans="21:29" ht="15">
      <c r="U20" s="87"/>
      <c r="V20" s="84"/>
      <c r="W20" s="84"/>
      <c r="X20" s="161"/>
      <c r="AA20" s="86">
        <f>AA19*255</f>
        <v>24398.999999999993</v>
      </c>
      <c r="AB20" s="86">
        <f>AB19*52</f>
        <v>12060.4</v>
      </c>
      <c r="AC20" s="86">
        <f>AC19*58</f>
        <v>9727.4</v>
      </c>
    </row>
    <row r="21" spans="21:22" ht="15">
      <c r="U21" s="88"/>
      <c r="V21" s="84"/>
    </row>
    <row r="22" ht="15">
      <c r="AA22" s="86"/>
    </row>
    <row r="30" ht="15">
      <c r="L30" s="84"/>
    </row>
    <row r="31" ht="15">
      <c r="L31" s="88"/>
    </row>
  </sheetData>
  <mergeCells count="2">
    <mergeCell ref="B1:I1"/>
    <mergeCell ref="J1:T1"/>
  </mergeCells>
  <printOptions/>
  <pageMargins left="0.7" right="0.7" top="0.75" bottom="0.75"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B4777-D181-4CB4-A3F0-9A57CB680458}">
  <sheetPr>
    <tabColor rgb="FFFFFF00"/>
  </sheetPr>
  <dimension ref="A1:AK36"/>
  <sheetViews>
    <sheetView zoomScale="84" zoomScaleNormal="84" workbookViewId="0" topLeftCell="A1">
      <selection activeCell="F366" sqref="F366"/>
    </sheetView>
  </sheetViews>
  <sheetFormatPr defaultColWidth="9.140625" defaultRowHeight="15" customHeight="1"/>
  <cols>
    <col min="1" max="1" width="13.421875" style="0" bestFit="1" customWidth="1"/>
    <col min="2" max="2" width="21.57421875" style="0" bestFit="1" customWidth="1"/>
    <col min="3" max="3" width="20.57421875" style="0" bestFit="1" customWidth="1"/>
    <col min="4" max="4" width="19.421875" style="0" bestFit="1" customWidth="1"/>
    <col min="6" max="6" width="12.00390625" style="0" customWidth="1"/>
    <col min="7" max="11" width="12.140625" style="0" bestFit="1" customWidth="1"/>
    <col min="12" max="12" width="12.7109375" style="0" customWidth="1"/>
    <col min="13" max="17" width="12.140625" style="0" bestFit="1" customWidth="1"/>
    <col min="18" max="18" width="12.57421875" style="0" bestFit="1" customWidth="1"/>
    <col min="19" max="23" width="12.140625" style="0" bestFit="1" customWidth="1"/>
    <col min="24" max="24" width="12.57421875" style="0" bestFit="1" customWidth="1"/>
    <col min="25" max="27" width="12.421875" style="0" customWidth="1"/>
    <col min="28" max="28" width="14.57421875" style="0" customWidth="1"/>
    <col min="29" max="29" width="15.00390625" style="0" customWidth="1"/>
    <col min="30" max="30" width="15.7109375" style="0" customWidth="1"/>
    <col min="31" max="31" width="15.00390625" style="0" bestFit="1" customWidth="1"/>
    <col min="32" max="32" width="15.421875" style="0" customWidth="1"/>
    <col min="33" max="34" width="15.140625" style="0" customWidth="1"/>
    <col min="35" max="35" width="16.140625" style="0" customWidth="1"/>
    <col min="36" max="36" width="15.421875" style="0" customWidth="1"/>
  </cols>
  <sheetData>
    <row r="1" spans="1:29" ht="15.75" thickBot="1">
      <c r="A1" t="s">
        <v>61</v>
      </c>
      <c r="G1" s="241" t="s">
        <v>62</v>
      </c>
      <c r="H1" s="242"/>
      <c r="I1" s="242"/>
      <c r="J1" s="242"/>
      <c r="K1" s="242"/>
      <c r="L1" s="242"/>
      <c r="M1" s="241" t="s">
        <v>63</v>
      </c>
      <c r="N1" s="242"/>
      <c r="O1" s="242"/>
      <c r="P1" s="242"/>
      <c r="Q1" s="242"/>
      <c r="R1" s="242"/>
      <c r="S1" s="241" t="s">
        <v>64</v>
      </c>
      <c r="T1" s="242"/>
      <c r="U1" s="242"/>
      <c r="V1" s="242"/>
      <c r="W1" s="242"/>
      <c r="X1" s="242"/>
      <c r="Y1" s="7" t="s">
        <v>65</v>
      </c>
      <c r="Z1" s="71"/>
      <c r="AA1" s="71"/>
      <c r="AB1" s="71"/>
      <c r="AC1" s="72"/>
    </row>
    <row r="2" spans="1:34" ht="15.75" thickBot="1">
      <c r="A2" s="164" t="s">
        <v>33</v>
      </c>
      <c r="B2" t="s">
        <v>66</v>
      </c>
      <c r="C2" t="s">
        <v>67</v>
      </c>
      <c r="D2" t="s">
        <v>68</v>
      </c>
      <c r="G2" s="171" t="s">
        <v>69</v>
      </c>
      <c r="H2" s="172" t="s">
        <v>70</v>
      </c>
      <c r="I2" s="172" t="s">
        <v>71</v>
      </c>
      <c r="J2" s="172" t="s">
        <v>72</v>
      </c>
      <c r="K2" s="173" t="s">
        <v>73</v>
      </c>
      <c r="L2" s="172"/>
      <c r="M2" s="171" t="s">
        <v>69</v>
      </c>
      <c r="N2" s="172" t="s">
        <v>70</v>
      </c>
      <c r="O2" s="172" t="s">
        <v>71</v>
      </c>
      <c r="P2" s="172" t="s">
        <v>72</v>
      </c>
      <c r="Q2" s="173" t="s">
        <v>73</v>
      </c>
      <c r="R2" s="171" t="s">
        <v>69</v>
      </c>
      <c r="S2" s="172" t="s">
        <v>70</v>
      </c>
      <c r="T2" s="172" t="s">
        <v>71</v>
      </c>
      <c r="U2" s="172" t="s">
        <v>72</v>
      </c>
      <c r="V2" s="173" t="s">
        <v>73</v>
      </c>
      <c r="W2" s="171">
        <v>2024</v>
      </c>
      <c r="X2" s="172">
        <v>2025</v>
      </c>
      <c r="Y2" s="172">
        <v>2026</v>
      </c>
      <c r="Z2" s="173">
        <v>2027</v>
      </c>
      <c r="AA2" s="181">
        <v>2028</v>
      </c>
      <c r="AB2" s="181">
        <v>2029</v>
      </c>
      <c r="AC2">
        <v>2024</v>
      </c>
      <c r="AD2">
        <v>2025</v>
      </c>
      <c r="AE2">
        <v>2026</v>
      </c>
      <c r="AF2">
        <v>2027</v>
      </c>
      <c r="AG2">
        <v>2028</v>
      </c>
      <c r="AH2">
        <v>2029</v>
      </c>
    </row>
    <row r="3" spans="1:34" ht="15">
      <c r="A3" s="2" t="s">
        <v>53</v>
      </c>
      <c r="B3" s="214">
        <v>-7.250000000000014</v>
      </c>
      <c r="C3" s="214">
        <v>78.45641025641025</v>
      </c>
      <c r="D3" s="214">
        <v>78.49080459770116</v>
      </c>
      <c r="F3" s="2" t="s">
        <v>53</v>
      </c>
      <c r="G3" s="174">
        <f>GETPIVOTDATA("Sum of Weekday Delta",$A$2,"Vehicle group","40 ft Hybrid")*G15</f>
        <v>-587.2500000000011</v>
      </c>
      <c r="H3" s="175">
        <f>GETPIVOTDATA("Sum of Weekday Delta",$A$2,"Vehicle group","40 ft hybrid")*H15</f>
        <v>-1261.5000000000025</v>
      </c>
      <c r="I3" s="175">
        <f>GETPIVOTDATA("Sum of Weekday Delta",$A$11,"Vehicle group","40 ft hybrid")*I15</f>
        <v>1008.4499999999991</v>
      </c>
      <c r="J3" s="175">
        <f>GETPIVOTDATA("Sum of Weekday Delta",$A$11,"Vehicle group","40 ft hybrid")*J15</f>
        <v>3174.7499999999973</v>
      </c>
      <c r="K3" s="175">
        <f>GETPIVOTDATA("Sum of Weekday Delta",$A$12,"Vehicle group","40 ft hybrid")*L15</f>
        <v>3174.7499999999973</v>
      </c>
      <c r="L3" s="175"/>
      <c r="M3" s="174">
        <f>GETPIVOTDATA("Sum of Saturday delta",$A$2,"Vehicle group","40 ft hybrid")*G16</f>
        <v>1412.2153846153844</v>
      </c>
      <c r="N3" s="175">
        <f>GETPIVOTDATA("Sum of Saturday delta",$A$2,"Vehicle group","40 ft hybrid")*H16</f>
        <v>2745.974358974359</v>
      </c>
      <c r="O3" s="175">
        <f>GETPIVOTDATA("Sum of Saturday delta",$A$11,"Vehicle group","40 ft hybrid")*I16</f>
        <v>1082.4205128205126</v>
      </c>
      <c r="P3" s="175">
        <f>GETPIVOTDATA("Sum of Saturday delta",$A$11,"Vehicle group","40 ft hybrid")*J16</f>
        <v>3310.9333333333325</v>
      </c>
      <c r="Q3" s="176">
        <f>GETPIVOTDATA("Sum of Saturday delta",$A$11,"Vehicle group","40 ft hybrid")*L16</f>
        <v>3310.9333333333325</v>
      </c>
      <c r="R3" s="174">
        <f>GETPIVOTDATA("Sum of Sunday Delta",$A$2,"Vehicle group","40 ft hybrid")*G17</f>
        <v>1883.7793103448278</v>
      </c>
      <c r="S3" s="175">
        <f>GETPIVOTDATA("Sum of Sunday Delta",$A$2,"Vehicle group","40 ft hybrid")*H17</f>
        <v>3061.141379310345</v>
      </c>
      <c r="T3" s="175">
        <f>GETPIVOTDATA("Sum of Sunday Delta",$A$11,"Vehicle group","40 ft Hybrid")*I17</f>
        <v>1196.1810344827586</v>
      </c>
      <c r="U3" s="175">
        <f>GETPIVOTDATA("Sum of Sunday Delta",$A$11,"Vehicle group","40 ft hybrid")*J17</f>
        <v>3651.5000000000005</v>
      </c>
      <c r="V3" s="176">
        <f>GETPIVOTDATA("Sum of Sunday Delta",$A$11,"Vehicle group","40 ft hybrid")*L17</f>
        <v>3651.5000000000005</v>
      </c>
      <c r="W3" s="174">
        <f>G3+M3+R3</f>
        <v>2708.744694960211</v>
      </c>
      <c r="X3" s="175">
        <f>H3+I3+N3+O3+S3+T3</f>
        <v>7832.6672855879715</v>
      </c>
      <c r="Y3" s="175">
        <f aca="true" t="shared" si="0" ref="Y3:Z6">J3+P3+U3</f>
        <v>10137.18333333333</v>
      </c>
      <c r="Z3" s="176">
        <f t="shared" si="0"/>
        <v>10137.18333333333</v>
      </c>
      <c r="AA3" s="179">
        <f>K3+Q3+V3+GETPIVOTDATA("Sum of Weekday Delta",$A$11,"Vehicle group","40 ft Hybrid")</f>
        <v>10149.633333333331</v>
      </c>
      <c r="AB3" s="179">
        <f>K3+Q3+V3</f>
        <v>10137.18333333333</v>
      </c>
      <c r="AC3" s="74">
        <f aca="true" t="shared" si="1" ref="AC3:AH6">W3*Y10</f>
        <v>601440.2267872284</v>
      </c>
      <c r="AD3" s="74">
        <f t="shared" si="1"/>
        <v>1791312.2758592044</v>
      </c>
      <c r="AE3" s="74">
        <f t="shared" si="1"/>
        <v>2387900.072109391</v>
      </c>
      <c r="AF3" s="74">
        <f t="shared" si="1"/>
        <v>2459537.0742726726</v>
      </c>
      <c r="AG3" s="74">
        <f t="shared" si="1"/>
        <v>2536434.491942891</v>
      </c>
      <c r="AH3" s="74">
        <f t="shared" si="1"/>
        <v>2609322.8820958785</v>
      </c>
    </row>
    <row r="4" spans="1:34" ht="15">
      <c r="A4" s="2" t="s">
        <v>52</v>
      </c>
      <c r="B4" s="214">
        <v>-4.251960784313724</v>
      </c>
      <c r="C4" s="214">
        <v>15.930769230769236</v>
      </c>
      <c r="D4" s="214">
        <v>17.688505747126435</v>
      </c>
      <c r="F4" s="2" t="s">
        <v>52</v>
      </c>
      <c r="G4" s="165">
        <f>GETPIVOTDATA("Sum of Weekday Delta",$A$2,"Vehicle group","60 ft hybrid")*G15</f>
        <v>-344.4088235294116</v>
      </c>
      <c r="H4" s="166">
        <f>GETPIVOTDATA("Sum of Weekday Delta",$A$2,"Vehicle group","60 ft hybrid")*H15</f>
        <v>-739.8411764705879</v>
      </c>
      <c r="I4" s="166">
        <f>GETPIVOTDATA("Sum of Weekday Delta",$A$11,"Vehicle group","60 ft hybrid")*I15</f>
        <v>-344.4088235294116</v>
      </c>
      <c r="J4" s="166">
        <f>GETPIVOTDATA("Sum of Weekday Delta",$A$11,"Vehicle group","60 ft hybrid")*J15</f>
        <v>-1084.2499999999995</v>
      </c>
      <c r="K4" s="167">
        <f>GETPIVOTDATA("Sum of Weekday Delta",$A$11,"Vehicle group","40 ft hybrid")*L15</f>
        <v>3174.7499999999973</v>
      </c>
      <c r="L4" s="166"/>
      <c r="M4" s="165">
        <f>GETPIVOTDATA("Sum of Saturday Delta",$A$2,"Vehicle group","60 ft hybrid")*G16</f>
        <v>286.75384615384627</v>
      </c>
      <c r="N4" s="166">
        <f>GETPIVOTDATA("Sum of Saturday Delta",$A$2,"Vehicle group","60 ft hybrid")*H16</f>
        <v>557.5769230769233</v>
      </c>
      <c r="O4" s="166">
        <f>GETPIVOTDATA("Sum of Saturday delta",$A$11,"Vehicle group","60 ft hybrid")*I16</f>
        <v>270.823076923077</v>
      </c>
      <c r="P4" s="166">
        <f>GETPIVOTDATA("Sum of Saturday delta",$A$11,"Vehicle group","60 ft hybrid")*J16</f>
        <v>828.4000000000003</v>
      </c>
      <c r="Q4" s="167">
        <f>GETPIVOTDATA("Sum of Saturday delta",$A$11,"Vehicle group","60 ft hybrid")*L16</f>
        <v>828.4000000000003</v>
      </c>
      <c r="R4" s="165">
        <f>GETPIVOTDATA("Sum of Sunday Delta",$A$2,"Vehicle group","60 ft hybrid")*G17</f>
        <v>424.52413793103443</v>
      </c>
      <c r="S4" s="166">
        <f>GETPIVOTDATA("Sum of Sunday Delta",$A$2,"Vehicle group","60 ft hybrid")*H17</f>
        <v>689.851724137931</v>
      </c>
      <c r="T4" s="166">
        <f>GETPIVOTDATA("Sum of Sunday Delta",$A$11,"Vehicle group","60 ft hybrid")*I17</f>
        <v>336.0816091954023</v>
      </c>
      <c r="U4" s="166">
        <f>GETPIVOTDATA("Sum of Sunday Delta",$A$11,"Vehicle group","60 ft hybrid")*J17</f>
        <v>1025.9333333333332</v>
      </c>
      <c r="V4" s="167">
        <f>GETPIVOTDATA("Sum of Sunday Delta",$A$11,"Vehicle group","60 ft hybrid")*L17</f>
        <v>1025.9333333333332</v>
      </c>
      <c r="W4" s="165">
        <f>G4+M4+R4</f>
        <v>366.8691605554691</v>
      </c>
      <c r="X4" s="166">
        <f>H4+I4+N4+O4+S4+T4</f>
        <v>770.083333333334</v>
      </c>
      <c r="Y4" s="166">
        <f t="shared" si="0"/>
        <v>770.0833333333339</v>
      </c>
      <c r="Z4" s="167">
        <f t="shared" si="0"/>
        <v>5029.083333333331</v>
      </c>
      <c r="AA4" s="179">
        <f>K4+Q4+V4+GETPIVOTDATA("Sum of Weekday Delta",$A$11,"Vehicle group","60 ft Hybrid")</f>
        <v>5024.831372549017</v>
      </c>
      <c r="AB4" s="179">
        <f>K4+Q4+V4</f>
        <v>5029.083333333331</v>
      </c>
      <c r="AC4" s="74">
        <f t="shared" si="1"/>
        <v>85768.60949403775</v>
      </c>
      <c r="AD4" s="74">
        <f t="shared" si="1"/>
        <v>185435.172289669</v>
      </c>
      <c r="AE4" s="74">
        <f t="shared" si="1"/>
        <v>190998.22745835903</v>
      </c>
      <c r="AF4" s="74">
        <f t="shared" si="1"/>
        <v>1284747.1691105973</v>
      </c>
      <c r="AG4" s="74">
        <f t="shared" si="1"/>
        <v>1322170.7768297107</v>
      </c>
      <c r="AH4" s="74">
        <f t="shared" si="1"/>
        <v>1362988.2717094326</v>
      </c>
    </row>
    <row r="5" spans="1:34" ht="15">
      <c r="A5" s="2" t="s">
        <v>50</v>
      </c>
      <c r="B5" s="214">
        <v>-32.36568627450983</v>
      </c>
      <c r="C5" s="214">
        <v>-0.4230769230769411</v>
      </c>
      <c r="D5" s="214">
        <v>-13.78218390804598</v>
      </c>
      <c r="F5" s="2" t="s">
        <v>50</v>
      </c>
      <c r="G5" s="165">
        <f>GETPIVOTDATA("Sum of Weekday Delta",$A$2,"Vehicle group","40 ft Trolley")*G15</f>
        <v>-2621.620588235296</v>
      </c>
      <c r="H5" s="166">
        <f>GETPIVOTDATA("Sum of Weekday Delta",$A$2,"Vehicle group","40 ft Trolley")*H15</f>
        <v>-5631.629411764709</v>
      </c>
      <c r="I5" s="166">
        <f>GETPIVOTDATA("Sum of Weekday Delta",$A$11,"Vehicle group","40 ft Trolley")*I15</f>
        <v>-4217.320588235296</v>
      </c>
      <c r="J5" s="166">
        <f>GETPIVOTDATA("Sum of Weekday Delta",$A$11,"Vehicle group","40 ft Trolley")*J15</f>
        <v>-13276.750000000007</v>
      </c>
      <c r="K5" s="167">
        <f>GETPIVOTDATA("Sum of Weekday Delta",$A$11,"Vehicle group","40 ft Trolley")*L15</f>
        <v>-13276.750000000007</v>
      </c>
      <c r="L5" s="166"/>
      <c r="M5" s="165">
        <f>GETPIVOTDATA("Sum of Saturday Delta",$A$2,"Vehicle group","40 ft trolley")*G16</f>
        <v>-7.61538461538494</v>
      </c>
      <c r="N5" s="166">
        <f>GETPIVOTDATA("Sum of Saturday Delta",$A$2,"Vehicle group","40 ft trolley")*H16</f>
        <v>-14.807692307692939</v>
      </c>
      <c r="O5" s="166">
        <f>GETPIVOTDATA("Sum of Saturday delta",$A$11,"Vehicle group","40 ft trolley")*I16</f>
        <v>244.14615384615368</v>
      </c>
      <c r="P5" s="166">
        <f>GETPIVOTDATA("Sum of Saturday delta",$A$11,"Vehicle group","40 ft trolley")*J16</f>
        <v>746.7999999999995</v>
      </c>
      <c r="Q5" s="167">
        <f>GETPIVOTDATA("Sum of Saturday delta",$A$11,"Vehicle group","40 ft trolley")*L16</f>
        <v>746.7999999999995</v>
      </c>
      <c r="R5" s="165">
        <f>GETPIVOTDATA("Sum of Sunday Delta",$A$2,"Vehicle group","40 ft trolley")*G17</f>
        <v>-330.7724137931035</v>
      </c>
      <c r="S5" s="166">
        <f>GETPIVOTDATA("Sum of Sunday Delta",$A$2,"Vehicle group","40 ft trolley")*H17</f>
        <v>-537.5051724137932</v>
      </c>
      <c r="T5" s="166">
        <f>GETPIVOTDATA("Sum of Sunday Delta",$A$11,"Vehicle group","40 ft trolley")*I17</f>
        <v>33.28275862068953</v>
      </c>
      <c r="U5" s="166">
        <f>GETPIVOTDATA("Sum of Sunday Delta",$A$11,"Vehicle group","40 ft trolley")*J17</f>
        <v>101.59999999999961</v>
      </c>
      <c r="V5" s="167">
        <f>GETPIVOTDATA("Sum of Sunday Delta",$A$11,"Vehicle group","40 ft trolley")*L17</f>
        <v>101.59999999999961</v>
      </c>
      <c r="W5" s="165">
        <f>G5+M5+R5</f>
        <v>-2960.0083866437844</v>
      </c>
      <c r="X5" s="166">
        <f>H5+I5+N5+O5+S5+T5</f>
        <v>-10123.833952254648</v>
      </c>
      <c r="Y5" s="166">
        <f t="shared" si="0"/>
        <v>-12428.350000000008</v>
      </c>
      <c r="Z5" s="167">
        <f t="shared" si="0"/>
        <v>-12428.350000000008</v>
      </c>
      <c r="AA5" s="179">
        <f>K5+Q5+V5+GETPIVOTDATA("Sum of Weekday Delta",$A$11,"Vehicle group","40 ft Trolley")</f>
        <v>-12480.415686274517</v>
      </c>
      <c r="AB5" s="179">
        <f>K5+Q5+V5</f>
        <v>-12428.350000000008</v>
      </c>
      <c r="AC5" s="74">
        <f t="shared" si="1"/>
        <v>-643786.4320514125</v>
      </c>
      <c r="AD5" s="74">
        <f t="shared" si="1"/>
        <v>-2267937.6778991995</v>
      </c>
      <c r="AE5" s="74">
        <f t="shared" si="1"/>
        <v>-2867720.378782624</v>
      </c>
      <c r="AF5" s="74">
        <f t="shared" si="1"/>
        <v>-2953751.990146103</v>
      </c>
      <c r="AG5" s="74">
        <f t="shared" si="1"/>
        <v>-3055109.829649108</v>
      </c>
      <c r="AH5" s="74">
        <f t="shared" si="1"/>
        <v>-3133635.4863460003</v>
      </c>
    </row>
    <row r="6" spans="1:34" ht="15.75" thickBot="1">
      <c r="A6" s="2" t="s">
        <v>55</v>
      </c>
      <c r="B6" s="214">
        <v>0</v>
      </c>
      <c r="C6" s="214">
        <v>0</v>
      </c>
      <c r="D6" s="214">
        <v>0</v>
      </c>
      <c r="F6" s="2" t="s">
        <v>56</v>
      </c>
      <c r="G6" s="168">
        <f>GETPIVOTDATA("Sum of Weekday Delta",$A$2,"Vehicle group","RR")*G15</f>
        <v>11303.550000000001</v>
      </c>
      <c r="H6" s="169">
        <f>GETPIVOTDATA("Sum of Weekday Delta",$A$2,"Vehicle group","RR")*H15</f>
        <v>24281.7</v>
      </c>
      <c r="I6" s="169">
        <f>GETPIVOTDATA("Sum of Weekday Delta",$A$11,"Vehicle group","RR")*I15</f>
        <v>11303.550000000001</v>
      </c>
      <c r="J6" s="169">
        <f>GETPIVOTDATA("Sum of Weekday Delta",$A$11,"Vehicle group","RR")*J15</f>
        <v>35585.25</v>
      </c>
      <c r="K6" s="170">
        <f>GETPIVOTDATA("Sum of Weekday Delta",$A$11,"Vehicle group","RR")*L15</f>
        <v>35585.25</v>
      </c>
      <c r="L6" s="169"/>
      <c r="M6" s="168">
        <f>GETPIVOTDATA("Sum of Saturday delta",$A$2,"Vehicle group","RR")*G16</f>
        <v>2483.4</v>
      </c>
      <c r="N6" s="169">
        <f>GETPIVOTDATA("Sum of Saturday delta",$A$2,"Vehicle group","RR")*H16</f>
        <v>4828.833333333333</v>
      </c>
      <c r="O6" s="169">
        <f>GETPIVOTDATA("Sum of Saturday delta",$A$11,"Vehicle group","RR")*I16</f>
        <v>2345.4333333333334</v>
      </c>
      <c r="P6" s="169">
        <f>GETPIVOTDATA("Sum of Saturday delta",$A$11,"Vehicle group","RR")*J16</f>
        <v>7174.266666666666</v>
      </c>
      <c r="Q6" s="170">
        <f>GETPIVOTDATA("Sum of Saturday delta",$A$11,"Vehicle group","RR")*L16</f>
        <v>7174.266666666666</v>
      </c>
      <c r="R6" s="168">
        <f>GETPIVOTDATA("Sum of Sunday Delta",$A$2,"Vehicle group","RR")*G17</f>
        <v>2047.6</v>
      </c>
      <c r="S6" s="169">
        <f aca="true" t="shared" si="2" ref="S6">GETPIVOTDATA("Sum of Sunday Delta",$A$2,"Vehicle group","RR")*H17</f>
        <v>3327.35</v>
      </c>
      <c r="T6" s="169">
        <f>GETPIVOTDATA("Sum of Sunday Delta",$A$11,"Vehicle group","RR")*I17</f>
        <v>1621.0166666666667</v>
      </c>
      <c r="U6" s="169">
        <f>GETPIVOTDATA("Sum of Sunday Delta",$A$11,"Vehicle group","RR")*J17</f>
        <v>4948.366666666667</v>
      </c>
      <c r="V6" s="170">
        <f>GETPIVOTDATA("Sum of Sunday Delta",$A$11,"Vehicle group","RR")*L17</f>
        <v>4948.366666666667</v>
      </c>
      <c r="W6" s="168">
        <f>G6+M6+R6</f>
        <v>15834.550000000001</v>
      </c>
      <c r="X6" s="169">
        <f>H6+I6+N6+O6+S6+T6</f>
        <v>47707.88333333334</v>
      </c>
      <c r="Y6" s="169">
        <f t="shared" si="0"/>
        <v>47707.88333333333</v>
      </c>
      <c r="Z6" s="170">
        <f t="shared" si="0"/>
        <v>47707.88333333333</v>
      </c>
      <c r="AA6" s="180">
        <f>K6+Q6+V6+GETPIVOTDATA("Sum of Weekday Delta",$A$11,"Vehicle group","RR")</f>
        <v>47847.433333333334</v>
      </c>
      <c r="AB6" s="180">
        <f>K6+Q6+V6</f>
        <v>47707.88333333333</v>
      </c>
      <c r="AC6" s="74">
        <f t="shared" si="1"/>
        <v>3884068.226388925</v>
      </c>
      <c r="AD6" s="74">
        <f t="shared" si="1"/>
        <v>12053370.25790868</v>
      </c>
      <c r="AE6" s="74">
        <f t="shared" si="1"/>
        <v>12414971.365645938</v>
      </c>
      <c r="AF6" s="74">
        <f t="shared" si="1"/>
        <v>12787420.506615316</v>
      </c>
      <c r="AG6" s="74">
        <f t="shared" si="1"/>
        <v>13209569.649071483</v>
      </c>
      <c r="AH6" s="74">
        <f t="shared" si="1"/>
        <v>13566174.415468188</v>
      </c>
    </row>
    <row r="7" spans="1:37" ht="15">
      <c r="A7" s="2" t="s">
        <v>56</v>
      </c>
      <c r="B7" s="214">
        <v>139.55</v>
      </c>
      <c r="C7" s="214">
        <v>137.96666666666667</v>
      </c>
      <c r="D7" s="214">
        <v>85.31666666666666</v>
      </c>
      <c r="G7" s="6"/>
      <c r="H7" s="6"/>
      <c r="Y7" s="6"/>
      <c r="Z7" s="6"/>
      <c r="AA7" s="6"/>
      <c r="AB7" s="6"/>
      <c r="AC7" s="185" t="s">
        <v>74</v>
      </c>
      <c r="AD7" s="185" t="s">
        <v>75</v>
      </c>
      <c r="AE7" t="s">
        <v>76</v>
      </c>
      <c r="AF7" s="185" t="s">
        <v>77</v>
      </c>
      <c r="AG7" s="185" t="s">
        <v>78</v>
      </c>
      <c r="AH7" s="185" t="s">
        <v>79</v>
      </c>
      <c r="AI7" s="74"/>
      <c r="AJ7" s="74"/>
      <c r="AK7" s="74"/>
    </row>
    <row r="8" spans="1:37" ht="15.75" thickBot="1">
      <c r="A8" s="2" t="s">
        <v>80</v>
      </c>
      <c r="B8" s="214">
        <v>95.68235294117645</v>
      </c>
      <c r="C8" s="214">
        <v>231.93076923076922</v>
      </c>
      <c r="D8" s="214">
        <v>167.71379310344827</v>
      </c>
      <c r="G8" s="6"/>
      <c r="H8" s="6"/>
      <c r="U8" s="177" t="s">
        <v>57</v>
      </c>
      <c r="V8" s="178">
        <f>SUM(W3:W6)</f>
        <v>15950.155468871897</v>
      </c>
      <c r="W8" s="178">
        <f>SUM(X3:X6)</f>
        <v>46186.799999999996</v>
      </c>
      <c r="X8" s="178">
        <f>SUM(Y3:Y6)</f>
        <v>46186.79999999999</v>
      </c>
      <c r="Y8" s="178">
        <f>SUM(Z3:Z6)</f>
        <v>50445.79999999999</v>
      </c>
      <c r="Z8" s="178">
        <f>SUM(AA3:AA6)</f>
        <v>50541.482352941166</v>
      </c>
      <c r="AA8" s="178"/>
      <c r="AB8" s="178"/>
      <c r="AC8" s="74">
        <f>SUM(AC3:AC6)</f>
        <v>3927490.630618779</v>
      </c>
      <c r="AD8" s="74">
        <f>SUM(AD3:AD6)</f>
        <v>11762180.028158354</v>
      </c>
      <c r="AE8" s="74">
        <f>SUM(AD3:AE6)</f>
        <v>23888329.31458942</v>
      </c>
      <c r="AF8" s="74">
        <f>SUM(AE3:AF6)</f>
        <v>25704102.046283547</v>
      </c>
      <c r="AG8" s="74">
        <f>SUM(AF3:AG6)</f>
        <v>27591017.84804746</v>
      </c>
      <c r="AH8" s="74">
        <f>SUM(AG3:AH6)</f>
        <v>28417915.171122476</v>
      </c>
      <c r="AK8" s="74"/>
    </row>
    <row r="9" spans="7:36" ht="15.75" thickTop="1">
      <c r="G9" s="70"/>
      <c r="H9" s="70"/>
      <c r="I9" s="70"/>
      <c r="J9" s="70"/>
      <c r="K9" s="70"/>
      <c r="L9" s="70"/>
      <c r="M9" s="70"/>
      <c r="N9" s="70"/>
      <c r="O9" s="70"/>
      <c r="P9" s="70"/>
      <c r="Q9" s="70"/>
      <c r="R9" s="70"/>
      <c r="S9" s="70"/>
      <c r="T9" s="70"/>
      <c r="U9" s="70"/>
      <c r="V9" s="70"/>
      <c r="W9" s="70"/>
      <c r="X9" s="70">
        <v>2023</v>
      </c>
      <c r="Y9" s="6">
        <v>2024</v>
      </c>
      <c r="Z9" s="6">
        <v>2025</v>
      </c>
      <c r="AA9" s="6">
        <v>2026</v>
      </c>
      <c r="AB9" s="6">
        <v>2027</v>
      </c>
      <c r="AC9" s="6">
        <v>2028</v>
      </c>
      <c r="AD9" s="6">
        <v>2029</v>
      </c>
      <c r="AE9" s="74"/>
      <c r="AF9" s="74"/>
      <c r="AG9" s="74"/>
      <c r="AH9" s="74"/>
      <c r="AI9" s="74"/>
      <c r="AJ9" s="74"/>
    </row>
    <row r="10" spans="1:36" ht="22.5">
      <c r="A10" t="s">
        <v>81</v>
      </c>
      <c r="W10" s="59" t="s">
        <v>82</v>
      </c>
      <c r="X10" s="62">
        <v>215.5694301368774</v>
      </c>
      <c r="Y10" s="62">
        <f aca="true" t="shared" si="3" ref="Y10:Y11">X10*1.03</f>
        <v>222.03651304098372</v>
      </c>
      <c r="Z10" s="62">
        <f aca="true" t="shared" si="4" ref="Z10:Z11">Y10*1.03</f>
        <v>228.69760843221323</v>
      </c>
      <c r="AA10" s="62">
        <f aca="true" t="shared" si="5" ref="AA10:AA15">Z10*1.03</f>
        <v>235.55853668517963</v>
      </c>
      <c r="AB10" s="62">
        <f aca="true" t="shared" si="6" ref="AB10:AB11">AA10*1.03</f>
        <v>242.62529278573504</v>
      </c>
      <c r="AC10" s="62">
        <f aca="true" t="shared" si="7" ref="AC10:AD15">AB10*1.03</f>
        <v>249.9040515693071</v>
      </c>
      <c r="AD10" s="62">
        <f t="shared" si="7"/>
        <v>257.4011731163863</v>
      </c>
      <c r="AF10" s="74"/>
      <c r="AG10" s="74"/>
      <c r="AH10" s="74"/>
      <c r="AI10" s="74"/>
      <c r="AJ10" s="74"/>
    </row>
    <row r="11" spans="1:30" ht="22.5">
      <c r="A11" s="164" t="s">
        <v>33</v>
      </c>
      <c r="B11" t="s">
        <v>66</v>
      </c>
      <c r="C11" t="s">
        <v>67</v>
      </c>
      <c r="D11" t="s">
        <v>68</v>
      </c>
      <c r="W11" s="59" t="s">
        <v>83</v>
      </c>
      <c r="X11" s="62">
        <v>226.97600018580854</v>
      </c>
      <c r="Y11" s="62">
        <f t="shared" si="3"/>
        <v>233.7852801913828</v>
      </c>
      <c r="Z11" s="62">
        <f t="shared" si="4"/>
        <v>240.7988385971243</v>
      </c>
      <c r="AA11" s="62">
        <f t="shared" si="5"/>
        <v>248.02280375503804</v>
      </c>
      <c r="AB11" s="62">
        <f t="shared" si="6"/>
        <v>255.4634878676892</v>
      </c>
      <c r="AC11" s="62">
        <f t="shared" si="7"/>
        <v>263.1273925037199</v>
      </c>
      <c r="AD11" s="62">
        <f t="shared" si="7"/>
        <v>271.02121427883145</v>
      </c>
    </row>
    <row r="12" spans="1:30" ht="15">
      <c r="A12" s="2" t="s">
        <v>53</v>
      </c>
      <c r="B12">
        <v>12.449999999999989</v>
      </c>
      <c r="C12">
        <v>63.67179487179486</v>
      </c>
      <c r="D12">
        <v>62.95689655172414</v>
      </c>
      <c r="W12" s="59" t="s">
        <v>84</v>
      </c>
      <c r="X12" s="62">
        <v>211.16</v>
      </c>
      <c r="Y12" s="62">
        <f aca="true" t="shared" si="8" ref="Y12:Z15">X12*1.03</f>
        <v>217.4948</v>
      </c>
      <c r="Z12" s="62">
        <f t="shared" si="8"/>
        <v>224.019644</v>
      </c>
      <c r="AA12" s="62">
        <f t="shared" si="5"/>
        <v>230.74023332000002</v>
      </c>
      <c r="AB12" s="62">
        <f>AA12*1.03</f>
        <v>237.66244031960002</v>
      </c>
      <c r="AC12" s="62">
        <f aca="true" t="shared" si="9" ref="AC12:AC15">AB12*1.03</f>
        <v>244.79231352918802</v>
      </c>
      <c r="AD12" s="62">
        <f t="shared" si="7"/>
        <v>252.13608293506365</v>
      </c>
    </row>
    <row r="13" spans="1:30" ht="33.75">
      <c r="A13" s="2" t="s">
        <v>52</v>
      </c>
      <c r="B13">
        <v>-4.251960784313724</v>
      </c>
      <c r="C13">
        <v>15.930769230769236</v>
      </c>
      <c r="D13">
        <v>17.688505747126435</v>
      </c>
      <c r="W13" s="59" t="s">
        <v>85</v>
      </c>
      <c r="X13" s="62">
        <v>238.1463335314433</v>
      </c>
      <c r="Y13" s="62">
        <f t="shared" si="8"/>
        <v>245.2907235373866</v>
      </c>
      <c r="Z13" s="62">
        <f t="shared" si="8"/>
        <v>252.6494452435082</v>
      </c>
      <c r="AA13" s="62">
        <f t="shared" si="5"/>
        <v>260.22892860081345</v>
      </c>
      <c r="AB13" s="62">
        <f>AA13*1.03</f>
        <v>268.03579645883786</v>
      </c>
      <c r="AC13" s="62">
        <f t="shared" si="9"/>
        <v>276.076870352603</v>
      </c>
      <c r="AD13" s="62">
        <f t="shared" si="7"/>
        <v>284.3591764631811</v>
      </c>
    </row>
    <row r="14" spans="1:30" ht="15">
      <c r="A14" s="2" t="s">
        <v>50</v>
      </c>
      <c r="B14">
        <v>-52.06568627450983</v>
      </c>
      <c r="C14">
        <v>14.361538461538451</v>
      </c>
      <c r="D14">
        <v>1.7517241379310278</v>
      </c>
      <c r="F14" t="str">
        <f>'Day counter'!G2</f>
        <v>Day Type</v>
      </c>
      <c r="G14" t="str">
        <f>'Day counter'!H2</f>
        <v>Phase 1 2024</v>
      </c>
      <c r="H14" t="str">
        <f>'Day counter'!I2</f>
        <v>Phase 1 2025</v>
      </c>
      <c r="I14" t="str">
        <f>'Day counter'!J2</f>
        <v>Phase 2 2025</v>
      </c>
      <c r="J14" t="str">
        <f>'Day counter'!K2</f>
        <v>Phase 2 2026</v>
      </c>
      <c r="K14" t="str">
        <f>'Day counter'!L2</f>
        <v>Phase 2 2026</v>
      </c>
      <c r="L14" t="str">
        <f>'Day counter'!M2</f>
        <v xml:space="preserve">Phase 2 2027 </v>
      </c>
      <c r="M14" t="s">
        <v>86</v>
      </c>
      <c r="W14" s="59" t="s">
        <v>87</v>
      </c>
      <c r="X14" s="62">
        <f>X11</f>
        <v>226.97600018580854</v>
      </c>
      <c r="Y14" s="62">
        <f t="shared" si="8"/>
        <v>233.7852801913828</v>
      </c>
      <c r="Z14" s="62">
        <f t="shared" si="8"/>
        <v>240.7988385971243</v>
      </c>
      <c r="AA14" s="62">
        <f t="shared" si="5"/>
        <v>248.02280375503804</v>
      </c>
      <c r="AB14" s="62">
        <f>AA14*1.03</f>
        <v>255.4634878676892</v>
      </c>
      <c r="AC14" s="62">
        <f t="shared" si="9"/>
        <v>263.1273925037199</v>
      </c>
      <c r="AD14" s="62">
        <f t="shared" si="7"/>
        <v>271.02121427883145</v>
      </c>
    </row>
    <row r="15" spans="1:30" ht="15">
      <c r="A15" s="2" t="s">
        <v>55</v>
      </c>
      <c r="B15">
        <v>0</v>
      </c>
      <c r="C15">
        <v>0</v>
      </c>
      <c r="D15">
        <v>0</v>
      </c>
      <c r="F15" t="str">
        <f>'Day counter'!G3</f>
        <v>Weekday</v>
      </c>
      <c r="G15">
        <f>'Day counter'!H3</f>
        <v>81</v>
      </c>
      <c r="H15">
        <f>'Day counter'!I3</f>
        <v>174</v>
      </c>
      <c r="I15">
        <f>'Day counter'!J3</f>
        <v>81</v>
      </c>
      <c r="J15">
        <f>'Day counter'!K3</f>
        <v>255</v>
      </c>
      <c r="K15">
        <f>'Day counter'!L3</f>
        <v>255</v>
      </c>
      <c r="L15">
        <f>'Day counter'!M3</f>
        <v>255</v>
      </c>
      <c r="M15">
        <v>256</v>
      </c>
      <c r="W15" s="59" t="s">
        <v>60</v>
      </c>
      <c r="X15" s="62">
        <v>236.04271043155052</v>
      </c>
      <c r="Y15" s="62">
        <f t="shared" si="8"/>
        <v>243.12399174449703</v>
      </c>
      <c r="Z15" s="62">
        <f t="shared" si="8"/>
        <v>250.41771149683194</v>
      </c>
      <c r="AA15" s="62">
        <f t="shared" si="5"/>
        <v>257.9302428417369</v>
      </c>
      <c r="AB15" s="62">
        <f>AA15*1.03</f>
        <v>265.668150126989</v>
      </c>
      <c r="AC15" s="62">
        <f t="shared" si="9"/>
        <v>273.6381946307987</v>
      </c>
      <c r="AD15" s="62">
        <f t="shared" si="7"/>
        <v>281.84734046972267</v>
      </c>
    </row>
    <row r="16" spans="1:13" ht="15">
      <c r="A16" s="2" t="s">
        <v>56</v>
      </c>
      <c r="B16">
        <v>139.55</v>
      </c>
      <c r="C16">
        <v>137.96666666666667</v>
      </c>
      <c r="D16">
        <v>85.31666666666666</v>
      </c>
      <c r="F16" t="str">
        <f>'Day counter'!G4</f>
        <v>Sat</v>
      </c>
      <c r="G16">
        <f>'Day counter'!H4</f>
        <v>18</v>
      </c>
      <c r="H16">
        <f>'Day counter'!I4</f>
        <v>35</v>
      </c>
      <c r="I16">
        <f>'Day counter'!J4</f>
        <v>17</v>
      </c>
      <c r="J16">
        <f>'Day counter'!K4</f>
        <v>52</v>
      </c>
      <c r="K16">
        <f>'Day counter'!L4</f>
        <v>52</v>
      </c>
      <c r="L16">
        <f>'Day counter'!M4</f>
        <v>52</v>
      </c>
      <c r="M16">
        <v>52</v>
      </c>
    </row>
    <row r="17" spans="1:13" ht="15">
      <c r="A17" s="2" t="s">
        <v>80</v>
      </c>
      <c r="B17">
        <v>95.68235294117645</v>
      </c>
      <c r="C17">
        <v>231.93076923076922</v>
      </c>
      <c r="D17">
        <v>167.71379310344827</v>
      </c>
      <c r="F17" t="str">
        <f>'Day counter'!G5</f>
        <v>Sun</v>
      </c>
      <c r="G17">
        <f>'Day counter'!H5</f>
        <v>24</v>
      </c>
      <c r="H17">
        <f>'Day counter'!I5</f>
        <v>39</v>
      </c>
      <c r="I17">
        <f>'Day counter'!J5</f>
        <v>19</v>
      </c>
      <c r="J17">
        <f>'Day counter'!K5</f>
        <v>58</v>
      </c>
      <c r="K17">
        <f>'Day counter'!L5</f>
        <v>58</v>
      </c>
      <c r="L17">
        <f>'Day counter'!M5</f>
        <v>58</v>
      </c>
      <c r="M17">
        <v>58</v>
      </c>
    </row>
    <row r="18" ht="15">
      <c r="A18" s="2"/>
    </row>
    <row r="31" spans="13:24" ht="15">
      <c r="M31" s="74"/>
      <c r="N31" s="74"/>
      <c r="O31" s="74"/>
      <c r="P31" s="74"/>
      <c r="Q31" s="74"/>
      <c r="R31" s="74"/>
      <c r="S31" s="74"/>
      <c r="T31" s="74"/>
      <c r="U31" s="74"/>
      <c r="V31" s="74"/>
      <c r="W31" s="74"/>
      <c r="X31" s="74"/>
    </row>
    <row r="32" spans="13:24" ht="15">
      <c r="M32" s="74"/>
      <c r="N32" s="74"/>
      <c r="O32" s="74"/>
      <c r="P32" s="74"/>
      <c r="Q32" s="74"/>
      <c r="R32" s="74"/>
      <c r="S32" s="74"/>
      <c r="T32" s="74"/>
      <c r="U32" s="74"/>
      <c r="V32" s="74"/>
      <c r="W32" s="74"/>
      <c r="X32" s="74"/>
    </row>
    <row r="33" spans="13:24" ht="15">
      <c r="M33" s="74"/>
      <c r="N33" s="74"/>
      <c r="O33" s="74"/>
      <c r="P33" s="74"/>
      <c r="Q33" s="74"/>
      <c r="R33" s="74"/>
      <c r="S33" s="74"/>
      <c r="T33" s="74"/>
      <c r="U33" s="74"/>
      <c r="V33" s="74"/>
      <c r="W33" s="74"/>
      <c r="X33" s="74"/>
    </row>
    <row r="34" spans="13:24" ht="15">
      <c r="M34" s="74"/>
      <c r="N34" s="74"/>
      <c r="O34" s="74"/>
      <c r="P34" s="74"/>
      <c r="Q34" s="74"/>
      <c r="R34" s="74"/>
      <c r="S34" s="74"/>
      <c r="T34" s="74"/>
      <c r="U34" s="74"/>
      <c r="V34" s="74"/>
      <c r="W34" s="74"/>
      <c r="X34" s="74"/>
    </row>
    <row r="35" spans="13:24" ht="15">
      <c r="M35" s="74"/>
      <c r="N35" s="74"/>
      <c r="O35" s="74"/>
      <c r="P35" s="74"/>
      <c r="Q35" s="74"/>
      <c r="R35" s="74"/>
      <c r="S35" s="74"/>
      <c r="T35" s="74"/>
      <c r="U35" s="74"/>
      <c r="V35" s="74"/>
      <c r="W35" s="74"/>
      <c r="X35" s="74"/>
    </row>
    <row r="36" spans="13:24" ht="15">
      <c r="M36" s="74"/>
      <c r="N36" s="74"/>
      <c r="O36" s="74"/>
      <c r="P36" s="74"/>
      <c r="Q36" s="74"/>
      <c r="R36" s="74"/>
      <c r="S36" s="74"/>
      <c r="T36" s="74"/>
      <c r="U36" s="74"/>
      <c r="V36" s="74"/>
      <c r="W36" s="74"/>
      <c r="X36" s="74"/>
    </row>
  </sheetData>
  <mergeCells count="3">
    <mergeCell ref="G1:L1"/>
    <mergeCell ref="M1:R1"/>
    <mergeCell ref="S1:X1"/>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F29D5-0475-499B-9623-4E5DAE691EEE}">
  <sheetPr>
    <tabColor rgb="FFFFFF00"/>
  </sheetPr>
  <dimension ref="A1:P856"/>
  <sheetViews>
    <sheetView zoomScale="98" zoomScaleNormal="98" workbookViewId="0" topLeftCell="A349">
      <selection activeCell="F366" sqref="F366"/>
    </sheetView>
  </sheetViews>
  <sheetFormatPr defaultColWidth="9.140625" defaultRowHeight="15"/>
  <cols>
    <col min="1" max="1" width="11.140625" style="0" customWidth="1"/>
    <col min="3" max="3" width="9.28125" style="0" bestFit="1" customWidth="1"/>
    <col min="7" max="7" width="10.140625" style="0" bestFit="1" customWidth="1"/>
    <col min="8" max="9" width="13.00390625" style="0" customWidth="1"/>
    <col min="10" max="11" width="12.8515625" style="0" customWidth="1"/>
    <col min="12" max="12" width="12.7109375" style="0" customWidth="1"/>
    <col min="13" max="13" width="12.8515625" style="0" customWidth="1"/>
    <col min="14" max="14" width="12.00390625" style="0" customWidth="1"/>
    <col min="15" max="15" width="12.28125" style="0" customWidth="1"/>
    <col min="16" max="16" width="14.140625" style="0" customWidth="1"/>
  </cols>
  <sheetData>
    <row r="1" spans="1:3" ht="15">
      <c r="A1" t="s">
        <v>88</v>
      </c>
      <c r="B1" t="s">
        <v>89</v>
      </c>
      <c r="C1" t="s">
        <v>90</v>
      </c>
    </row>
    <row r="2" spans="1:15" ht="15">
      <c r="A2" s="69">
        <v>45535</v>
      </c>
      <c r="B2">
        <f aca="true" t="shared" si="0" ref="B2:B51">WEEKDAY(A2,2)</f>
        <v>6</v>
      </c>
      <c r="C2">
        <v>1</v>
      </c>
      <c r="G2" t="s">
        <v>91</v>
      </c>
      <c r="H2" t="s">
        <v>69</v>
      </c>
      <c r="I2" t="s">
        <v>70</v>
      </c>
      <c r="J2" t="s">
        <v>71</v>
      </c>
      <c r="K2" t="s">
        <v>72</v>
      </c>
      <c r="L2" t="s">
        <v>72</v>
      </c>
      <c r="M2" t="s">
        <v>73</v>
      </c>
      <c r="N2" t="s">
        <v>86</v>
      </c>
      <c r="O2" t="s">
        <v>92</v>
      </c>
    </row>
    <row r="3" spans="1:15" ht="15">
      <c r="A3" s="69">
        <v>45536</v>
      </c>
      <c r="B3">
        <f t="shared" si="0"/>
        <v>7</v>
      </c>
      <c r="C3">
        <v>1</v>
      </c>
      <c r="G3" t="s">
        <v>21</v>
      </c>
      <c r="H3">
        <f>COUNTIFS($B$2:$B$854,"&lt;6",$A$2:$A$854,"&gt;="&amp;DATE(2024,1,1),$A$2:$A$854,"&lt;="&amp;DATE(2024,12,31),$C$2:$C$854,"1")</f>
        <v>81</v>
      </c>
      <c r="I3">
        <f>COUNTIFS($B$2:$B$854,"&lt;6",$A$2:$A$854,"&gt;="&amp;DATE(2025,1,1),$A$2:$A$854,"&lt;="&amp;DATE(2025,12,31),$C$2:$C$854,"1")</f>
        <v>174</v>
      </c>
      <c r="J3">
        <f>COUNTIFS($B$2:$B$854,"&lt;6",$A$2:$A$854,"&gt;="&amp;DATE(2025,1,1),$A$2:$A$854,"&lt;="&amp;DATE(2025,12,31),$C$2:$C$854,"2")</f>
        <v>81</v>
      </c>
      <c r="K3">
        <f>COUNTIFS($B$2:$B$854,"&lt;6",$A$2:$A$854,"&gt;="&amp;DATE(2026,1,1),$A$2:$A$854,"&lt;="&amp;DATE(2026,12,31),$C$2:$C$854,"2")</f>
        <v>255</v>
      </c>
      <c r="L3">
        <f>COUNTIFS($B$2:$B$854,"&lt;6",$A$2:$A$854,"&gt;="&amp;DATE(2026,1,1),$A$2:$A$854,"&lt;="&amp;DATE(2026,12,31),$C$2:$C$854,"2")</f>
        <v>255</v>
      </c>
      <c r="M3">
        <f>COUNTIFS($B$2:$B$854,"&lt;6",$A$2:$A$854,"&gt;="&amp;DATE(2026,1,1),$A$2:$A$854,"&lt;="&amp;DATE(2026,12,31),$C$2:$C$854,"2")</f>
        <v>255</v>
      </c>
      <c r="N3">
        <f>COUNTIFS($B$2:$B$854,"&lt;6",$A$2:$A$854,"&gt;="&amp;DATE(2026,1,1),$A$2:$A$854,"&lt;="&amp;DATE(2026,12,31),$C$2:$C$854,"2")</f>
        <v>255</v>
      </c>
      <c r="O3">
        <f>COUNTIFS($B$2:$B$854,"&lt;6",$A$2:$A$854,"&gt;="&amp;DATE(2026,1,1),$A$2:$A$854,"&lt;="&amp;DATE(2026,12,31),$C$2:$C$854,"2")</f>
        <v>255</v>
      </c>
    </row>
    <row r="4" spans="1:15" ht="15">
      <c r="A4" s="69">
        <v>45537</v>
      </c>
      <c r="B4">
        <v>7</v>
      </c>
      <c r="C4">
        <v>1</v>
      </c>
      <c r="G4" t="s">
        <v>63</v>
      </c>
      <c r="H4">
        <f>COUNTIFS($B$2:$B$854,"6",$A$2:$A$854,"&gt;="&amp;DATE(2024,1,1),$A$2:$A$854,"&lt;="&amp;DATE(2024,12,31),$C$2:$C$854,"1")</f>
        <v>18</v>
      </c>
      <c r="I4">
        <f>COUNTIFS($B$2:$B$854,"6",$A$2:$A$854,"&gt;="&amp;DATE(2025,1,1),$A$2:$A$854,"&lt;="&amp;DATE(2025,12,31),$C$2:$C$854,"1")</f>
        <v>35</v>
      </c>
      <c r="J4">
        <f>COUNTIFS($B$2:$B$854,"6",$A$2:$A$854,"&gt;="&amp;DATE(2025,1,1),$A$2:$A$854,"&lt;="&amp;DATE(2025,12,31),$C$2:$C$854,"2")</f>
        <v>17</v>
      </c>
      <c r="K4">
        <f>COUNTIFS($B$2:$B$854,"6",$A$2:$A$854,"&gt;="&amp;DATE(2026,1,1),$A$2:$A$854,"&lt;="&amp;DATE(2026,12,31),$C$2:$C$854,"2")</f>
        <v>52</v>
      </c>
      <c r="L4">
        <f>COUNTIFS($B$2:$B$854,"6",$A$2:$A$854,"&gt;="&amp;DATE(2026,1,1),$A$2:$A$854,"&lt;="&amp;DATE(2026,12,31),$C$2:$C$854,"2")</f>
        <v>52</v>
      </c>
      <c r="M4">
        <v>52</v>
      </c>
      <c r="N4">
        <v>52</v>
      </c>
      <c r="O4">
        <v>52</v>
      </c>
    </row>
    <row r="5" spans="1:15" ht="15">
      <c r="A5" s="69">
        <v>45538</v>
      </c>
      <c r="B5">
        <f t="shared" si="0"/>
        <v>2</v>
      </c>
      <c r="C5">
        <v>1</v>
      </c>
      <c r="G5" t="s">
        <v>93</v>
      </c>
      <c r="H5">
        <f>COUNTIFS($B$2:$B$854,"7",$A$2:$A$854,"&gt;="&amp;DATE(2024,1,1),$A$2:$A$854,"&lt;="&amp;DATE(2024,12,31),$C$2:$C$854,"1")</f>
        <v>24</v>
      </c>
      <c r="I5">
        <f>COUNTIFS($B$2:$B$854,"7",$A$2:$A$854,"&gt;="&amp;DATE(2025,1,1),$A$2:$A$854,"&lt;="&amp;DATE(2025,12,31),$C$2:$C$854,"1")</f>
        <v>39</v>
      </c>
      <c r="J5">
        <f>COUNTIFS($B$2:$B$854,"7",$A$2:$A$854,"&gt;="&amp;DATE(2025,1,1),$A$2:$A$854,"&lt;="&amp;DATE(2025,12,31),$C$2:$C$854,"2")</f>
        <v>19</v>
      </c>
      <c r="K5">
        <f>COUNTIFS($B$2:$B$854,"7",$A$2:$A$854,"&gt;="&amp;DATE(2026,1,1),$A$2:$A$854,"&lt;="&amp;DATE(2026,12,31),$C$2:$C$854,"2")</f>
        <v>58</v>
      </c>
      <c r="L5">
        <f>COUNTIFS($B$2:$B$854,"7",$A$2:$A$854,"&gt;="&amp;DATE(2026,1,1),$A$2:$A$854,"&lt;="&amp;DATE(2026,12,31),$C$2:$C$854,"2")</f>
        <v>58</v>
      </c>
      <c r="M5">
        <v>58</v>
      </c>
      <c r="N5">
        <v>58</v>
      </c>
      <c r="O5">
        <v>58</v>
      </c>
    </row>
    <row r="6" spans="1:3" ht="15">
      <c r="A6" s="69">
        <v>45539</v>
      </c>
      <c r="B6">
        <f t="shared" si="0"/>
        <v>3</v>
      </c>
      <c r="C6">
        <v>1</v>
      </c>
    </row>
    <row r="7" spans="1:3" ht="15">
      <c r="A7" s="69">
        <v>45540</v>
      </c>
      <c r="B7">
        <f t="shared" si="0"/>
        <v>4</v>
      </c>
      <c r="C7">
        <v>1</v>
      </c>
    </row>
    <row r="8" spans="1:3" ht="15">
      <c r="A8" s="69">
        <v>45541</v>
      </c>
      <c r="B8">
        <f t="shared" si="0"/>
        <v>5</v>
      </c>
      <c r="C8">
        <v>1</v>
      </c>
    </row>
    <row r="9" spans="1:16" ht="15">
      <c r="A9" s="69">
        <v>45542</v>
      </c>
      <c r="B9">
        <f t="shared" si="0"/>
        <v>6</v>
      </c>
      <c r="C9">
        <v>1</v>
      </c>
      <c r="G9" t="s">
        <v>94</v>
      </c>
      <c r="H9">
        <v>2024</v>
      </c>
      <c r="I9">
        <v>2025</v>
      </c>
      <c r="J9">
        <v>2026</v>
      </c>
      <c r="K9">
        <v>2027</v>
      </c>
      <c r="L9">
        <v>2028</v>
      </c>
      <c r="M9">
        <v>2029</v>
      </c>
      <c r="P9" s="69"/>
    </row>
    <row r="10" spans="1:16" ht="15">
      <c r="A10" s="69">
        <v>45543</v>
      </c>
      <c r="B10">
        <f t="shared" si="0"/>
        <v>7</v>
      </c>
      <c r="C10">
        <v>1</v>
      </c>
      <c r="G10" t="s">
        <v>21</v>
      </c>
      <c r="H10">
        <f>COUNTIFS($B$2:$B$854,"&lt;6",$A$2:$A$854,"&gt;="&amp;DATE(2024,1,1),$A$2:$A$854,"&lt;="&amp;DATE(2024,12,31))</f>
        <v>81</v>
      </c>
      <c r="I10">
        <f>COUNTIFS($B$2:$B$854,"&lt;6",$A$2:$A$854,"&gt;="&amp;DATE(2025,1,1),$A$2:$A$854,"&lt;="&amp;DATE(2025,12,31))</f>
        <v>255</v>
      </c>
      <c r="J10">
        <f>COUNTIFS($B$2:$B$854,"&lt;6",$A$2:$A$854,"&gt;="&amp;DATE(2026,1,1),$A$2:$A$854,"&lt;="&amp;DATE(2026,12,31))</f>
        <v>255</v>
      </c>
      <c r="K10">
        <f>COUNTIFS($B$2:$B$854,"&lt;6",$A$2:$A$854,"&gt;="&amp;DATE(2026,1,1),$A$2:$A$854,"&lt;="&amp;DATE(2026,12,31))</f>
        <v>255</v>
      </c>
      <c r="L10">
        <f>COUNTIFS($B$2:$B$854,"&lt;6",$A$2:$A$854,"&gt;="&amp;DATE(2026,1,1),$A$2:$A$854,"&lt;="&amp;DATE(2026,12,31))+1</f>
        <v>256</v>
      </c>
      <c r="M10">
        <f>COUNTIFS($B$2:$B$854,"&lt;6",$A$2:$A$854,"&gt;="&amp;DATE(2026,1,1),$A$2:$A$854,"&lt;="&amp;DATE(2026,12,31))</f>
        <v>255</v>
      </c>
      <c r="P10" s="69"/>
    </row>
    <row r="11" spans="1:16" ht="15">
      <c r="A11" s="69">
        <v>45544</v>
      </c>
      <c r="B11">
        <f t="shared" si="0"/>
        <v>1</v>
      </c>
      <c r="C11">
        <v>1</v>
      </c>
      <c r="G11" t="s">
        <v>63</v>
      </c>
      <c r="H11">
        <f>COUNTIFS($B$2:$B$854,"6",$A$2:$A$854,"&gt;="&amp;DATE(2024,1,1),$A$2:$A$854,"&lt;="&amp;DATE(2024,12,31))</f>
        <v>18</v>
      </c>
      <c r="I11">
        <f>COUNTIFS($B$2:$B$854,"6",$A$2:$A$854,"&gt;="&amp;DATE(2025,1,1),$A$2:$A$854,"&lt;="&amp;DATE(2025,12,31))</f>
        <v>52</v>
      </c>
      <c r="J11">
        <f>COUNTIFS($B$2:$B$854,"6",$A$2:$A$854,"&gt;="&amp;DATE(2026,1,1),$A$2:$A$854,"&lt;="&amp;DATE(2026,12,31))</f>
        <v>52</v>
      </c>
      <c r="K11">
        <f>COUNTIFS($B$2:$B$854,"6",$A$2:$A$854,"&gt;="&amp;DATE(2026,1,1),$A$2:$A$854,"&lt;="&amp;DATE(2026,12,31))</f>
        <v>52</v>
      </c>
      <c r="L11">
        <f>COUNTIFS($B$2:$B$854,"6",$A$2:$A$854,"&gt;="&amp;DATE(2026,1,1),$A$2:$A$854,"&lt;="&amp;DATE(2026,12,31))</f>
        <v>52</v>
      </c>
      <c r="M11">
        <f>COUNTIFS($B$2:$B$854,"6",$A$2:$A$854,"&gt;="&amp;DATE(2026,1,1),$A$2:$A$854,"&lt;="&amp;DATE(2026,12,31))</f>
        <v>52</v>
      </c>
      <c r="P11" s="69"/>
    </row>
    <row r="12" spans="1:16" ht="15">
      <c r="A12" s="69">
        <v>45545</v>
      </c>
      <c r="B12">
        <f t="shared" si="0"/>
        <v>2</v>
      </c>
      <c r="C12">
        <v>1</v>
      </c>
      <c r="G12" t="s">
        <v>93</v>
      </c>
      <c r="H12">
        <f>COUNTIFS($B$2:$B$854,"7",$A$2:$A$854,"&gt;="&amp;DATE(2024,1,1),$A$2:$A$854,"&lt;="&amp;DATE(2024,12,31))</f>
        <v>24</v>
      </c>
      <c r="I12">
        <f>COUNTIFS($B$2:$B$854,"7",$A$2:$A$854,"&gt;="&amp;DATE(2025,1,1),$A$2:$A$854,"&lt;="&amp;DATE(2025,12,31))</f>
        <v>58</v>
      </c>
      <c r="J12">
        <f>COUNTIFS($B$2:$B$854,"7",$A$2:$A$854,"&gt;="&amp;DATE(2026,1,1),$A$2:$A$854,"&lt;="&amp;DATE(2026,12,31))</f>
        <v>58</v>
      </c>
      <c r="K12">
        <f>COUNTIFS($B$2:$B$854,"7",$A$2:$A$854,"&gt;="&amp;DATE(2026,1,1),$A$2:$A$854,"&lt;="&amp;DATE(2026,12,31))</f>
        <v>58</v>
      </c>
      <c r="L12">
        <f>COUNTIFS($B$2:$B$854,"7",$A$2:$A$854,"&gt;="&amp;DATE(2026,1,1),$A$2:$A$854,"&lt;="&amp;DATE(2026,12,31))</f>
        <v>58</v>
      </c>
      <c r="M12">
        <f>COUNTIFS($B$2:$B$854,"7",$A$2:$A$854,"&gt;="&amp;DATE(2026,1,1),$A$2:$A$854,"&lt;="&amp;DATE(2026,12,31))</f>
        <v>58</v>
      </c>
      <c r="P12" s="69"/>
    </row>
    <row r="13" spans="1:16" ht="15">
      <c r="A13" s="69">
        <v>45546</v>
      </c>
      <c r="B13">
        <f t="shared" si="0"/>
        <v>3</v>
      </c>
      <c r="C13">
        <v>1</v>
      </c>
      <c r="P13" s="69"/>
    </row>
    <row r="14" spans="1:16" ht="15">
      <c r="A14" s="69">
        <v>45547</v>
      </c>
      <c r="B14">
        <f t="shared" si="0"/>
        <v>4</v>
      </c>
      <c r="C14">
        <v>1</v>
      </c>
      <c r="P14" s="69"/>
    </row>
    <row r="15" spans="1:16" ht="15">
      <c r="A15" s="69">
        <v>45548</v>
      </c>
      <c r="B15">
        <f t="shared" si="0"/>
        <v>5</v>
      </c>
      <c r="C15">
        <v>1</v>
      </c>
      <c r="P15" s="69"/>
    </row>
    <row r="16" spans="1:16" ht="15">
      <c r="A16" s="69">
        <v>45549</v>
      </c>
      <c r="B16">
        <f t="shared" si="0"/>
        <v>6</v>
      </c>
      <c r="C16">
        <v>1</v>
      </c>
      <c r="P16" s="69"/>
    </row>
    <row r="17" spans="1:16" ht="15">
      <c r="A17" s="69">
        <v>45550</v>
      </c>
      <c r="B17">
        <f t="shared" si="0"/>
        <v>7</v>
      </c>
      <c r="C17">
        <v>1</v>
      </c>
      <c r="P17" s="69"/>
    </row>
    <row r="18" spans="1:16" ht="15">
      <c r="A18" s="69">
        <v>45551</v>
      </c>
      <c r="B18">
        <f t="shared" si="0"/>
        <v>1</v>
      </c>
      <c r="C18">
        <v>1</v>
      </c>
      <c r="G18" s="69"/>
      <c r="P18" s="69"/>
    </row>
    <row r="19" spans="1:16" ht="15">
      <c r="A19" s="69">
        <v>45552</v>
      </c>
      <c r="B19">
        <f t="shared" si="0"/>
        <v>2</v>
      </c>
      <c r="C19">
        <v>1</v>
      </c>
      <c r="G19" s="69"/>
      <c r="P19" s="69"/>
    </row>
    <row r="20" spans="1:16" ht="15">
      <c r="A20" s="69">
        <v>45553</v>
      </c>
      <c r="B20">
        <f t="shared" si="0"/>
        <v>3</v>
      </c>
      <c r="C20">
        <v>1</v>
      </c>
      <c r="G20" s="69"/>
      <c r="P20" s="69"/>
    </row>
    <row r="21" spans="1:16" ht="15">
      <c r="A21" s="69">
        <v>45554</v>
      </c>
      <c r="B21">
        <f t="shared" si="0"/>
        <v>4</v>
      </c>
      <c r="C21">
        <v>1</v>
      </c>
      <c r="G21" s="69"/>
      <c r="P21" s="69"/>
    </row>
    <row r="22" spans="1:16" ht="15">
      <c r="A22" s="69">
        <v>45555</v>
      </c>
      <c r="B22">
        <f t="shared" si="0"/>
        <v>5</v>
      </c>
      <c r="C22">
        <v>1</v>
      </c>
      <c r="G22" s="69"/>
      <c r="P22" s="69"/>
    </row>
    <row r="23" spans="1:16" ht="15">
      <c r="A23" s="69">
        <v>45556</v>
      </c>
      <c r="B23">
        <f t="shared" si="0"/>
        <v>6</v>
      </c>
      <c r="C23">
        <v>1</v>
      </c>
      <c r="G23" s="69"/>
      <c r="P23" s="69"/>
    </row>
    <row r="24" spans="1:16" ht="15">
      <c r="A24" s="69">
        <v>45557</v>
      </c>
      <c r="B24">
        <f t="shared" si="0"/>
        <v>7</v>
      </c>
      <c r="C24">
        <v>1</v>
      </c>
      <c r="G24" s="69"/>
      <c r="P24" s="69"/>
    </row>
    <row r="25" spans="1:16" ht="15">
      <c r="A25" s="69">
        <v>45558</v>
      </c>
      <c r="B25">
        <f t="shared" si="0"/>
        <v>1</v>
      </c>
      <c r="C25">
        <v>1</v>
      </c>
      <c r="G25" s="69"/>
      <c r="P25" s="69"/>
    </row>
    <row r="26" spans="1:16" ht="15">
      <c r="A26" s="69">
        <v>45559</v>
      </c>
      <c r="B26">
        <f t="shared" si="0"/>
        <v>2</v>
      </c>
      <c r="C26">
        <v>1</v>
      </c>
      <c r="G26" s="69"/>
      <c r="P26" s="69"/>
    </row>
    <row r="27" spans="1:16" ht="15">
      <c r="A27" s="69">
        <v>45560</v>
      </c>
      <c r="B27">
        <f t="shared" si="0"/>
        <v>3</v>
      </c>
      <c r="C27">
        <v>1</v>
      </c>
      <c r="G27" s="69"/>
      <c r="P27" s="69"/>
    </row>
    <row r="28" spans="1:16" ht="15">
      <c r="A28" s="69">
        <v>45561</v>
      </c>
      <c r="B28">
        <f t="shared" si="0"/>
        <v>4</v>
      </c>
      <c r="C28">
        <v>1</v>
      </c>
      <c r="G28" s="69"/>
      <c r="P28" s="69"/>
    </row>
    <row r="29" spans="1:16" ht="15">
      <c r="A29" s="69">
        <v>45562</v>
      </c>
      <c r="B29">
        <f t="shared" si="0"/>
        <v>5</v>
      </c>
      <c r="C29">
        <v>1</v>
      </c>
      <c r="G29" s="69"/>
      <c r="P29" s="69"/>
    </row>
    <row r="30" spans="1:16" ht="15">
      <c r="A30" s="69">
        <v>45563</v>
      </c>
      <c r="B30">
        <f t="shared" si="0"/>
        <v>6</v>
      </c>
      <c r="C30">
        <v>1</v>
      </c>
      <c r="G30" s="69"/>
      <c r="P30" s="69"/>
    </row>
    <row r="31" spans="1:16" ht="15">
      <c r="A31" s="69">
        <v>45564</v>
      </c>
      <c r="B31">
        <f t="shared" si="0"/>
        <v>7</v>
      </c>
      <c r="C31">
        <v>1</v>
      </c>
      <c r="G31" s="69"/>
      <c r="P31" s="69"/>
    </row>
    <row r="32" spans="1:16" ht="15">
      <c r="A32" s="69">
        <v>45565</v>
      </c>
      <c r="B32">
        <f t="shared" si="0"/>
        <v>1</v>
      </c>
      <c r="C32">
        <v>1</v>
      </c>
      <c r="G32" s="69"/>
      <c r="P32" s="69"/>
    </row>
    <row r="33" spans="1:16" ht="15">
      <c r="A33" s="69">
        <v>45566</v>
      </c>
      <c r="B33">
        <f t="shared" si="0"/>
        <v>2</v>
      </c>
      <c r="C33">
        <v>1</v>
      </c>
      <c r="G33" s="69"/>
      <c r="P33" s="69"/>
    </row>
    <row r="34" spans="1:16" ht="15">
      <c r="A34" s="69">
        <v>45567</v>
      </c>
      <c r="B34">
        <f t="shared" si="0"/>
        <v>3</v>
      </c>
      <c r="C34">
        <v>1</v>
      </c>
      <c r="G34" s="69"/>
      <c r="P34" s="69"/>
    </row>
    <row r="35" spans="1:16" ht="15">
      <c r="A35" s="69">
        <v>45568</v>
      </c>
      <c r="B35">
        <f t="shared" si="0"/>
        <v>4</v>
      </c>
      <c r="C35">
        <v>1</v>
      </c>
      <c r="G35" s="69"/>
      <c r="P35" s="69"/>
    </row>
    <row r="36" spans="1:16" ht="15">
      <c r="A36" s="69">
        <v>45569</v>
      </c>
      <c r="B36">
        <f t="shared" si="0"/>
        <v>5</v>
      </c>
      <c r="C36">
        <v>1</v>
      </c>
      <c r="G36" s="69"/>
      <c r="P36" s="69"/>
    </row>
    <row r="37" spans="1:16" ht="15">
      <c r="A37" s="69">
        <v>45570</v>
      </c>
      <c r="B37">
        <f t="shared" si="0"/>
        <v>6</v>
      </c>
      <c r="C37">
        <v>1</v>
      </c>
      <c r="G37" s="69"/>
      <c r="P37" s="69"/>
    </row>
    <row r="38" spans="1:16" ht="15">
      <c r="A38" s="69">
        <v>45571</v>
      </c>
      <c r="B38">
        <f t="shared" si="0"/>
        <v>7</v>
      </c>
      <c r="C38">
        <v>1</v>
      </c>
      <c r="G38" s="69"/>
      <c r="P38" s="69"/>
    </row>
    <row r="39" spans="1:16" ht="15">
      <c r="A39" s="69">
        <v>45572</v>
      </c>
      <c r="B39">
        <f t="shared" si="0"/>
        <v>1</v>
      </c>
      <c r="C39">
        <v>1</v>
      </c>
      <c r="G39" s="69"/>
      <c r="P39" s="69"/>
    </row>
    <row r="40" spans="1:16" ht="15">
      <c r="A40" s="69">
        <v>45573</v>
      </c>
      <c r="B40">
        <f t="shared" si="0"/>
        <v>2</v>
      </c>
      <c r="C40">
        <v>1</v>
      </c>
      <c r="G40" s="69"/>
      <c r="P40" s="69"/>
    </row>
    <row r="41" spans="1:16" ht="15">
      <c r="A41" s="69">
        <v>45574</v>
      </c>
      <c r="B41">
        <f t="shared" si="0"/>
        <v>3</v>
      </c>
      <c r="C41">
        <v>1</v>
      </c>
      <c r="G41" s="69"/>
      <c r="P41" s="69"/>
    </row>
    <row r="42" spans="1:16" ht="15">
      <c r="A42" s="69">
        <v>45575</v>
      </c>
      <c r="B42">
        <f t="shared" si="0"/>
        <v>4</v>
      </c>
      <c r="C42">
        <v>1</v>
      </c>
      <c r="G42" s="69"/>
      <c r="P42" s="69"/>
    </row>
    <row r="43" spans="1:16" ht="15">
      <c r="A43" s="69">
        <v>45576</v>
      </c>
      <c r="B43">
        <f t="shared" si="0"/>
        <v>5</v>
      </c>
      <c r="C43">
        <v>1</v>
      </c>
      <c r="G43" s="69"/>
      <c r="P43" s="69"/>
    </row>
    <row r="44" spans="1:16" ht="15">
      <c r="A44" s="69">
        <v>45577</v>
      </c>
      <c r="B44">
        <f t="shared" si="0"/>
        <v>6</v>
      </c>
      <c r="C44">
        <v>1</v>
      </c>
      <c r="G44" s="69"/>
      <c r="P44" s="69"/>
    </row>
    <row r="45" spans="1:16" ht="15">
      <c r="A45" s="69">
        <v>45578</v>
      </c>
      <c r="B45">
        <f t="shared" si="0"/>
        <v>7</v>
      </c>
      <c r="C45">
        <v>1</v>
      </c>
      <c r="G45" s="69"/>
      <c r="P45" s="69"/>
    </row>
    <row r="46" spans="1:16" ht="15">
      <c r="A46" s="69">
        <v>45579</v>
      </c>
      <c r="B46">
        <f t="shared" si="0"/>
        <v>1</v>
      </c>
      <c r="C46">
        <v>1</v>
      </c>
      <c r="G46" s="69"/>
      <c r="P46" s="69"/>
    </row>
    <row r="47" spans="1:16" ht="15">
      <c r="A47" s="69">
        <v>45580</v>
      </c>
      <c r="B47">
        <f t="shared" si="0"/>
        <v>2</v>
      </c>
      <c r="C47">
        <v>1</v>
      </c>
      <c r="G47" s="69"/>
      <c r="P47" s="69"/>
    </row>
    <row r="48" spans="1:16" ht="15">
      <c r="A48" s="69">
        <v>45581</v>
      </c>
      <c r="B48">
        <f t="shared" si="0"/>
        <v>3</v>
      </c>
      <c r="C48">
        <v>1</v>
      </c>
      <c r="G48" s="69"/>
      <c r="P48" s="69"/>
    </row>
    <row r="49" spans="1:16" ht="15">
      <c r="A49" s="69">
        <v>45582</v>
      </c>
      <c r="B49">
        <f t="shared" si="0"/>
        <v>4</v>
      </c>
      <c r="C49">
        <v>1</v>
      </c>
      <c r="G49" s="69"/>
      <c r="P49" s="69"/>
    </row>
    <row r="50" spans="1:16" ht="15">
      <c r="A50" s="69">
        <v>45583</v>
      </c>
      <c r="B50">
        <f t="shared" si="0"/>
        <v>5</v>
      </c>
      <c r="C50">
        <v>1</v>
      </c>
      <c r="G50" s="69"/>
      <c r="P50" s="69"/>
    </row>
    <row r="51" spans="1:16" ht="15">
      <c r="A51" s="69">
        <v>45584</v>
      </c>
      <c r="B51">
        <f t="shared" si="0"/>
        <v>6</v>
      </c>
      <c r="C51">
        <v>1</v>
      </c>
      <c r="G51" s="69"/>
      <c r="P51" s="69"/>
    </row>
    <row r="52" spans="1:16" ht="15">
      <c r="A52" s="69">
        <v>45585</v>
      </c>
      <c r="B52">
        <f aca="true" t="shared" si="1" ref="B52:B115">WEEKDAY(A52,2)</f>
        <v>7</v>
      </c>
      <c r="C52">
        <v>1</v>
      </c>
      <c r="G52" s="69"/>
      <c r="P52" s="69"/>
    </row>
    <row r="53" spans="1:16" ht="15">
      <c r="A53" s="69">
        <v>45586</v>
      </c>
      <c r="B53">
        <f t="shared" si="1"/>
        <v>1</v>
      </c>
      <c r="C53">
        <v>1</v>
      </c>
      <c r="G53" s="69"/>
      <c r="P53" s="69"/>
    </row>
    <row r="54" spans="1:16" ht="15">
      <c r="A54" s="69">
        <v>45587</v>
      </c>
      <c r="B54">
        <f t="shared" si="1"/>
        <v>2</v>
      </c>
      <c r="C54">
        <v>1</v>
      </c>
      <c r="G54" s="69"/>
      <c r="P54" s="69"/>
    </row>
    <row r="55" spans="1:16" ht="15">
      <c r="A55" s="69">
        <v>45588</v>
      </c>
      <c r="B55">
        <f t="shared" si="1"/>
        <v>3</v>
      </c>
      <c r="C55">
        <v>1</v>
      </c>
      <c r="G55" s="69"/>
      <c r="P55" s="69"/>
    </row>
    <row r="56" spans="1:16" ht="15">
      <c r="A56" s="69">
        <v>45589</v>
      </c>
      <c r="B56">
        <f t="shared" si="1"/>
        <v>4</v>
      </c>
      <c r="C56">
        <v>1</v>
      </c>
      <c r="G56" s="69"/>
      <c r="P56" s="69"/>
    </row>
    <row r="57" spans="1:16" ht="15">
      <c r="A57" s="69">
        <v>45590</v>
      </c>
      <c r="B57">
        <f t="shared" si="1"/>
        <v>5</v>
      </c>
      <c r="C57">
        <v>1</v>
      </c>
      <c r="G57" s="69"/>
      <c r="P57" s="69"/>
    </row>
    <row r="58" spans="1:16" ht="15">
      <c r="A58" s="69">
        <v>45591</v>
      </c>
      <c r="B58">
        <f t="shared" si="1"/>
        <v>6</v>
      </c>
      <c r="C58">
        <v>1</v>
      </c>
      <c r="G58" s="69"/>
      <c r="P58" s="69"/>
    </row>
    <row r="59" spans="1:16" ht="15">
      <c r="A59" s="69">
        <v>45592</v>
      </c>
      <c r="B59">
        <f t="shared" si="1"/>
        <v>7</v>
      </c>
      <c r="C59">
        <v>1</v>
      </c>
      <c r="G59" s="69"/>
      <c r="P59" s="69"/>
    </row>
    <row r="60" spans="1:16" ht="15">
      <c r="A60" s="69">
        <v>45593</v>
      </c>
      <c r="B60">
        <f t="shared" si="1"/>
        <v>1</v>
      </c>
      <c r="C60">
        <v>1</v>
      </c>
      <c r="G60" s="69"/>
      <c r="P60" s="69"/>
    </row>
    <row r="61" spans="1:16" ht="15">
      <c r="A61" s="69">
        <v>45594</v>
      </c>
      <c r="B61">
        <f t="shared" si="1"/>
        <v>2</v>
      </c>
      <c r="C61">
        <v>1</v>
      </c>
      <c r="G61" s="69"/>
      <c r="P61" s="69"/>
    </row>
    <row r="62" spans="1:16" ht="15">
      <c r="A62" s="69">
        <v>45595</v>
      </c>
      <c r="B62">
        <f t="shared" si="1"/>
        <v>3</v>
      </c>
      <c r="C62">
        <v>1</v>
      </c>
      <c r="G62" s="69"/>
      <c r="P62" s="69"/>
    </row>
    <row r="63" spans="1:16" ht="15">
      <c r="A63" s="69">
        <v>45596</v>
      </c>
      <c r="B63">
        <f t="shared" si="1"/>
        <v>4</v>
      </c>
      <c r="C63">
        <v>1</v>
      </c>
      <c r="G63" s="69"/>
      <c r="P63" s="69"/>
    </row>
    <row r="64" spans="1:16" ht="15">
      <c r="A64" s="69">
        <v>45597</v>
      </c>
      <c r="B64">
        <f t="shared" si="1"/>
        <v>5</v>
      </c>
      <c r="C64">
        <v>1</v>
      </c>
      <c r="G64" s="69"/>
      <c r="P64" s="69"/>
    </row>
    <row r="65" spans="1:16" ht="15">
      <c r="A65" s="69">
        <v>45598</v>
      </c>
      <c r="B65">
        <f t="shared" si="1"/>
        <v>6</v>
      </c>
      <c r="C65">
        <v>1</v>
      </c>
      <c r="G65" s="69"/>
      <c r="P65" s="69"/>
    </row>
    <row r="66" spans="1:16" ht="15">
      <c r="A66" s="69">
        <v>45599</v>
      </c>
      <c r="B66">
        <f t="shared" si="1"/>
        <v>7</v>
      </c>
      <c r="C66">
        <v>1</v>
      </c>
      <c r="G66" s="69"/>
      <c r="P66" s="69"/>
    </row>
    <row r="67" spans="1:16" ht="15">
      <c r="A67" s="69">
        <v>45600</v>
      </c>
      <c r="B67">
        <f t="shared" si="1"/>
        <v>1</v>
      </c>
      <c r="C67">
        <v>1</v>
      </c>
      <c r="G67" s="69"/>
      <c r="P67" s="69"/>
    </row>
    <row r="68" spans="1:16" ht="15">
      <c r="A68" s="69">
        <v>45601</v>
      </c>
      <c r="B68">
        <f t="shared" si="1"/>
        <v>2</v>
      </c>
      <c r="C68">
        <v>1</v>
      </c>
      <c r="G68" s="69"/>
      <c r="P68" s="69"/>
    </row>
    <row r="69" spans="1:16" ht="15">
      <c r="A69" s="69">
        <v>45602</v>
      </c>
      <c r="B69">
        <f t="shared" si="1"/>
        <v>3</v>
      </c>
      <c r="C69">
        <v>1</v>
      </c>
      <c r="G69" s="69"/>
      <c r="P69" s="69"/>
    </row>
    <row r="70" spans="1:16" ht="15">
      <c r="A70" s="69">
        <v>45603</v>
      </c>
      <c r="B70">
        <v>7</v>
      </c>
      <c r="C70">
        <v>1</v>
      </c>
      <c r="G70" s="69"/>
      <c r="P70" s="69"/>
    </row>
    <row r="71" spans="1:16" ht="15">
      <c r="A71" s="69">
        <v>45604</v>
      </c>
      <c r="B71">
        <f t="shared" si="1"/>
        <v>5</v>
      </c>
      <c r="C71">
        <v>1</v>
      </c>
      <c r="G71" s="69"/>
      <c r="P71" s="69"/>
    </row>
    <row r="72" spans="1:16" ht="15">
      <c r="A72" s="69">
        <v>45605</v>
      </c>
      <c r="B72">
        <f t="shared" si="1"/>
        <v>6</v>
      </c>
      <c r="C72">
        <v>1</v>
      </c>
      <c r="G72" s="69"/>
      <c r="P72" s="69"/>
    </row>
    <row r="73" spans="1:16" ht="15">
      <c r="A73" s="69">
        <v>45606</v>
      </c>
      <c r="B73">
        <f t="shared" si="1"/>
        <v>7</v>
      </c>
      <c r="C73">
        <v>1</v>
      </c>
      <c r="G73" s="69"/>
      <c r="P73" s="69"/>
    </row>
    <row r="74" spans="1:16" ht="15">
      <c r="A74" s="69">
        <v>45607</v>
      </c>
      <c r="B74">
        <f t="shared" si="1"/>
        <v>1</v>
      </c>
      <c r="C74">
        <v>1</v>
      </c>
      <c r="G74" s="69"/>
      <c r="P74" s="69"/>
    </row>
    <row r="75" spans="1:16" ht="15">
      <c r="A75" s="69">
        <v>45608</v>
      </c>
      <c r="B75">
        <f t="shared" si="1"/>
        <v>2</v>
      </c>
      <c r="C75">
        <v>1</v>
      </c>
      <c r="G75" s="69"/>
      <c r="P75" s="69"/>
    </row>
    <row r="76" spans="1:16" ht="15">
      <c r="A76" s="69">
        <v>45609</v>
      </c>
      <c r="B76">
        <f t="shared" si="1"/>
        <v>3</v>
      </c>
      <c r="C76">
        <v>1</v>
      </c>
      <c r="G76" s="69"/>
      <c r="P76" s="69"/>
    </row>
    <row r="77" spans="1:16" ht="15">
      <c r="A77" s="69">
        <v>45610</v>
      </c>
      <c r="B77">
        <f t="shared" si="1"/>
        <v>4</v>
      </c>
      <c r="C77">
        <v>1</v>
      </c>
      <c r="G77" s="69"/>
      <c r="P77" s="69"/>
    </row>
    <row r="78" spans="1:16" ht="15">
      <c r="A78" s="69">
        <v>45611</v>
      </c>
      <c r="B78">
        <f t="shared" si="1"/>
        <v>5</v>
      </c>
      <c r="C78">
        <v>1</v>
      </c>
      <c r="G78" s="69"/>
      <c r="P78" s="69"/>
    </row>
    <row r="79" spans="1:16" ht="15">
      <c r="A79" s="69">
        <v>45612</v>
      </c>
      <c r="B79">
        <f t="shared" si="1"/>
        <v>6</v>
      </c>
      <c r="C79">
        <v>1</v>
      </c>
      <c r="G79" s="69"/>
      <c r="P79" s="69"/>
    </row>
    <row r="80" spans="1:16" ht="15">
      <c r="A80" s="69">
        <v>45613</v>
      </c>
      <c r="B80">
        <f t="shared" si="1"/>
        <v>7</v>
      </c>
      <c r="C80">
        <v>1</v>
      </c>
      <c r="G80" s="69"/>
      <c r="P80" s="69"/>
    </row>
    <row r="81" spans="1:16" ht="15">
      <c r="A81" s="69">
        <v>45614</v>
      </c>
      <c r="B81">
        <f t="shared" si="1"/>
        <v>1</v>
      </c>
      <c r="C81">
        <v>1</v>
      </c>
      <c r="G81" s="69"/>
      <c r="P81" s="69"/>
    </row>
    <row r="82" spans="1:16" ht="15">
      <c r="A82" s="69">
        <v>45615</v>
      </c>
      <c r="B82">
        <f t="shared" si="1"/>
        <v>2</v>
      </c>
      <c r="C82">
        <v>1</v>
      </c>
      <c r="G82" s="69"/>
      <c r="P82" s="69"/>
    </row>
    <row r="83" spans="1:16" ht="15">
      <c r="A83" s="69">
        <v>45616</v>
      </c>
      <c r="B83">
        <f t="shared" si="1"/>
        <v>3</v>
      </c>
      <c r="C83">
        <v>1</v>
      </c>
      <c r="G83" s="69"/>
      <c r="P83" s="69"/>
    </row>
    <row r="84" spans="1:16" ht="15">
      <c r="A84" s="69">
        <v>45617</v>
      </c>
      <c r="B84">
        <f t="shared" si="1"/>
        <v>4</v>
      </c>
      <c r="C84">
        <v>1</v>
      </c>
      <c r="G84" s="69"/>
      <c r="P84" s="69"/>
    </row>
    <row r="85" spans="1:16" ht="15">
      <c r="A85" s="69">
        <v>45618</v>
      </c>
      <c r="B85">
        <f t="shared" si="1"/>
        <v>5</v>
      </c>
      <c r="C85">
        <v>1</v>
      </c>
      <c r="G85" s="69"/>
      <c r="P85" s="69"/>
    </row>
    <row r="86" spans="1:16" ht="15">
      <c r="A86" s="69">
        <v>45619</v>
      </c>
      <c r="B86">
        <f t="shared" si="1"/>
        <v>6</v>
      </c>
      <c r="C86">
        <v>1</v>
      </c>
      <c r="G86" s="69"/>
      <c r="P86" s="69"/>
    </row>
    <row r="87" spans="1:16" ht="15">
      <c r="A87" s="69">
        <v>45620</v>
      </c>
      <c r="B87">
        <f t="shared" si="1"/>
        <v>7</v>
      </c>
      <c r="C87">
        <v>1</v>
      </c>
      <c r="G87" s="69"/>
      <c r="P87" s="69"/>
    </row>
    <row r="88" spans="1:16" ht="15">
      <c r="A88" s="69">
        <v>45621</v>
      </c>
      <c r="B88">
        <f t="shared" si="1"/>
        <v>1</v>
      </c>
      <c r="C88">
        <v>1</v>
      </c>
      <c r="G88" s="69"/>
      <c r="P88" s="69"/>
    </row>
    <row r="89" spans="1:16" ht="15">
      <c r="A89" s="69">
        <v>45622</v>
      </c>
      <c r="B89">
        <f t="shared" si="1"/>
        <v>2</v>
      </c>
      <c r="C89">
        <v>1</v>
      </c>
      <c r="G89" s="69"/>
      <c r="P89" s="69"/>
    </row>
    <row r="90" spans="1:16" ht="15">
      <c r="A90" s="69">
        <v>45623</v>
      </c>
      <c r="B90">
        <f t="shared" si="1"/>
        <v>3</v>
      </c>
      <c r="C90">
        <v>1</v>
      </c>
      <c r="G90" s="69"/>
      <c r="P90" s="69"/>
    </row>
    <row r="91" spans="1:16" ht="15">
      <c r="A91" s="69">
        <v>45624</v>
      </c>
      <c r="B91">
        <v>7</v>
      </c>
      <c r="C91">
        <v>1</v>
      </c>
      <c r="G91" s="69"/>
      <c r="P91" s="69"/>
    </row>
    <row r="92" spans="1:16" ht="15">
      <c r="A92" s="69">
        <v>45625</v>
      </c>
      <c r="B92">
        <f t="shared" si="1"/>
        <v>5</v>
      </c>
      <c r="C92">
        <v>1</v>
      </c>
      <c r="G92" s="69"/>
      <c r="P92" s="69"/>
    </row>
    <row r="93" spans="1:16" ht="15">
      <c r="A93" s="69">
        <v>45626</v>
      </c>
      <c r="B93">
        <f t="shared" si="1"/>
        <v>6</v>
      </c>
      <c r="C93">
        <v>1</v>
      </c>
      <c r="G93" s="69"/>
      <c r="P93" s="69"/>
    </row>
    <row r="94" spans="1:16" ht="15">
      <c r="A94" s="69">
        <v>45627</v>
      </c>
      <c r="B94">
        <f t="shared" si="1"/>
        <v>7</v>
      </c>
      <c r="C94">
        <v>1</v>
      </c>
      <c r="G94" s="69"/>
      <c r="P94" s="69"/>
    </row>
    <row r="95" spans="1:16" ht="15">
      <c r="A95" s="69">
        <v>45628</v>
      </c>
      <c r="B95">
        <f t="shared" si="1"/>
        <v>1</v>
      </c>
      <c r="C95">
        <v>1</v>
      </c>
      <c r="G95" s="69"/>
      <c r="P95" s="69"/>
    </row>
    <row r="96" spans="1:16" ht="15">
      <c r="A96" s="69">
        <v>45629</v>
      </c>
      <c r="B96">
        <f t="shared" si="1"/>
        <v>2</v>
      </c>
      <c r="C96">
        <v>1</v>
      </c>
      <c r="G96" s="69"/>
      <c r="P96" s="69"/>
    </row>
    <row r="97" spans="1:16" ht="15">
      <c r="A97" s="69">
        <v>45630</v>
      </c>
      <c r="B97">
        <f t="shared" si="1"/>
        <v>3</v>
      </c>
      <c r="C97">
        <v>1</v>
      </c>
      <c r="G97" s="69"/>
      <c r="P97" s="69"/>
    </row>
    <row r="98" spans="1:16" ht="15">
      <c r="A98" s="69">
        <v>45631</v>
      </c>
      <c r="B98">
        <f t="shared" si="1"/>
        <v>4</v>
      </c>
      <c r="C98">
        <v>1</v>
      </c>
      <c r="G98" s="69"/>
      <c r="P98" s="69"/>
    </row>
    <row r="99" spans="1:16" ht="15">
      <c r="A99" s="69">
        <v>45632</v>
      </c>
      <c r="B99">
        <f t="shared" si="1"/>
        <v>5</v>
      </c>
      <c r="C99">
        <v>1</v>
      </c>
      <c r="G99" s="69"/>
      <c r="P99" s="69"/>
    </row>
    <row r="100" spans="1:16" ht="15">
      <c r="A100" s="69">
        <v>45633</v>
      </c>
      <c r="B100">
        <f t="shared" si="1"/>
        <v>6</v>
      </c>
      <c r="C100">
        <v>1</v>
      </c>
      <c r="G100" s="69"/>
      <c r="P100" s="69"/>
    </row>
    <row r="101" spans="1:16" ht="15">
      <c r="A101" s="69">
        <v>45634</v>
      </c>
      <c r="B101">
        <f t="shared" si="1"/>
        <v>7</v>
      </c>
      <c r="C101">
        <v>1</v>
      </c>
      <c r="G101" s="69"/>
      <c r="P101" s="69"/>
    </row>
    <row r="102" spans="1:16" ht="15">
      <c r="A102" s="69">
        <v>45635</v>
      </c>
      <c r="B102">
        <v>7</v>
      </c>
      <c r="C102">
        <v>1</v>
      </c>
      <c r="G102" s="69"/>
      <c r="P102" s="69"/>
    </row>
    <row r="103" spans="1:16" ht="15">
      <c r="A103" s="69">
        <v>45636</v>
      </c>
      <c r="B103">
        <f t="shared" si="1"/>
        <v>2</v>
      </c>
      <c r="C103">
        <v>1</v>
      </c>
      <c r="G103" s="69"/>
      <c r="P103" s="69"/>
    </row>
    <row r="104" spans="1:16" ht="15">
      <c r="A104" s="69">
        <v>45637</v>
      </c>
      <c r="B104">
        <f t="shared" si="1"/>
        <v>3</v>
      </c>
      <c r="C104">
        <v>1</v>
      </c>
      <c r="G104" s="69"/>
      <c r="P104" s="69"/>
    </row>
    <row r="105" spans="1:16" ht="15">
      <c r="A105" s="69">
        <v>45638</v>
      </c>
      <c r="B105">
        <f t="shared" si="1"/>
        <v>4</v>
      </c>
      <c r="C105">
        <v>1</v>
      </c>
      <c r="G105" s="69"/>
      <c r="P105" s="69"/>
    </row>
    <row r="106" spans="1:16" ht="15">
      <c r="A106" s="69">
        <v>45639</v>
      </c>
      <c r="B106">
        <f t="shared" si="1"/>
        <v>5</v>
      </c>
      <c r="C106">
        <v>1</v>
      </c>
      <c r="G106" s="69"/>
      <c r="P106" s="69"/>
    </row>
    <row r="107" spans="1:16" ht="15">
      <c r="A107" s="69">
        <v>45640</v>
      </c>
      <c r="B107">
        <f t="shared" si="1"/>
        <v>6</v>
      </c>
      <c r="C107">
        <v>1</v>
      </c>
      <c r="G107" s="69"/>
      <c r="P107" s="69"/>
    </row>
    <row r="108" spans="1:16" ht="15.75" customHeight="1">
      <c r="A108" s="69">
        <v>45641</v>
      </c>
      <c r="B108">
        <f t="shared" si="1"/>
        <v>7</v>
      </c>
      <c r="C108">
        <v>1</v>
      </c>
      <c r="G108" s="69"/>
      <c r="P108" s="69"/>
    </row>
    <row r="109" spans="1:16" ht="15">
      <c r="A109" s="69">
        <v>45642</v>
      </c>
      <c r="B109">
        <v>7</v>
      </c>
      <c r="C109">
        <v>1</v>
      </c>
      <c r="G109" s="69"/>
      <c r="P109" s="69"/>
    </row>
    <row r="110" spans="1:16" ht="15">
      <c r="A110" s="69">
        <v>45643</v>
      </c>
      <c r="B110">
        <f t="shared" si="1"/>
        <v>2</v>
      </c>
      <c r="C110">
        <v>1</v>
      </c>
      <c r="G110" s="69"/>
      <c r="P110" s="69"/>
    </row>
    <row r="111" spans="1:16" ht="15">
      <c r="A111" s="69">
        <v>45644</v>
      </c>
      <c r="B111">
        <f t="shared" si="1"/>
        <v>3</v>
      </c>
      <c r="C111">
        <v>1</v>
      </c>
      <c r="G111" s="69"/>
      <c r="P111" s="69"/>
    </row>
    <row r="112" spans="1:16" ht="15">
      <c r="A112" s="69">
        <v>45645</v>
      </c>
      <c r="B112">
        <f t="shared" si="1"/>
        <v>4</v>
      </c>
      <c r="C112">
        <v>1</v>
      </c>
      <c r="G112" s="69"/>
      <c r="P112" s="69"/>
    </row>
    <row r="113" spans="1:16" ht="15">
      <c r="A113" s="69">
        <v>45646</v>
      </c>
      <c r="B113">
        <f t="shared" si="1"/>
        <v>5</v>
      </c>
      <c r="C113">
        <v>1</v>
      </c>
      <c r="G113" s="69"/>
      <c r="P113" s="69"/>
    </row>
    <row r="114" spans="1:16" ht="15">
      <c r="A114" s="69">
        <v>45647</v>
      </c>
      <c r="B114">
        <f t="shared" si="1"/>
        <v>6</v>
      </c>
      <c r="C114">
        <v>1</v>
      </c>
      <c r="G114" s="69"/>
      <c r="P114" s="69"/>
    </row>
    <row r="115" spans="1:16" ht="15">
      <c r="A115" s="69">
        <v>45648</v>
      </c>
      <c r="B115">
        <f t="shared" si="1"/>
        <v>7</v>
      </c>
      <c r="C115">
        <v>1</v>
      </c>
      <c r="G115" s="69"/>
      <c r="P115" s="69"/>
    </row>
    <row r="116" spans="1:16" ht="15">
      <c r="A116" s="69">
        <v>45649</v>
      </c>
      <c r="B116">
        <f aca="true" t="shared" si="2" ref="B116:B179">WEEKDAY(A116,2)</f>
        <v>1</v>
      </c>
      <c r="C116">
        <v>1</v>
      </c>
      <c r="G116" s="69"/>
      <c r="P116" s="69"/>
    </row>
    <row r="117" spans="1:16" ht="15">
      <c r="A117" s="69">
        <v>45650</v>
      </c>
      <c r="B117">
        <f t="shared" si="2"/>
        <v>2</v>
      </c>
      <c r="C117">
        <v>1</v>
      </c>
      <c r="G117" s="69"/>
      <c r="P117" s="69"/>
    </row>
    <row r="118" spans="1:16" ht="15">
      <c r="A118" s="69">
        <v>45651</v>
      </c>
      <c r="B118">
        <v>7</v>
      </c>
      <c r="C118">
        <v>1</v>
      </c>
      <c r="G118" s="69"/>
      <c r="P118" s="69"/>
    </row>
    <row r="119" spans="1:16" ht="15">
      <c r="A119" s="69">
        <v>45652</v>
      </c>
      <c r="B119">
        <f t="shared" si="2"/>
        <v>4</v>
      </c>
      <c r="C119">
        <v>1</v>
      </c>
      <c r="G119" s="69"/>
      <c r="P119" s="69"/>
    </row>
    <row r="120" spans="1:16" ht="15">
      <c r="A120" s="69">
        <v>45653</v>
      </c>
      <c r="B120">
        <f t="shared" si="2"/>
        <v>5</v>
      </c>
      <c r="C120">
        <v>1</v>
      </c>
      <c r="G120" s="69"/>
      <c r="P120" s="69"/>
    </row>
    <row r="121" spans="1:16" ht="15">
      <c r="A121" s="69">
        <v>45654</v>
      </c>
      <c r="B121">
        <f t="shared" si="2"/>
        <v>6</v>
      </c>
      <c r="C121">
        <v>1</v>
      </c>
      <c r="G121" s="69"/>
      <c r="P121" s="69"/>
    </row>
    <row r="122" spans="1:16" ht="15">
      <c r="A122" s="69">
        <v>45655</v>
      </c>
      <c r="B122">
        <f t="shared" si="2"/>
        <v>7</v>
      </c>
      <c r="C122">
        <v>1</v>
      </c>
      <c r="G122" s="69"/>
      <c r="P122" s="69"/>
    </row>
    <row r="123" spans="1:16" ht="15">
      <c r="A123" s="69">
        <v>45656</v>
      </c>
      <c r="B123">
        <f t="shared" si="2"/>
        <v>1</v>
      </c>
      <c r="C123">
        <v>1</v>
      </c>
      <c r="G123" s="69"/>
      <c r="P123" s="69"/>
    </row>
    <row r="124" spans="1:16" ht="15">
      <c r="A124" s="69">
        <v>45657</v>
      </c>
      <c r="B124">
        <f t="shared" si="2"/>
        <v>2</v>
      </c>
      <c r="C124">
        <v>1</v>
      </c>
      <c r="G124" s="69"/>
      <c r="P124" s="69"/>
    </row>
    <row r="125" spans="1:16" ht="15">
      <c r="A125" s="69">
        <v>45658</v>
      </c>
      <c r="B125">
        <v>7</v>
      </c>
      <c r="C125">
        <v>1</v>
      </c>
      <c r="G125" s="69"/>
      <c r="P125" s="69"/>
    </row>
    <row r="126" spans="1:16" ht="15">
      <c r="A126" s="69">
        <v>45659</v>
      </c>
      <c r="B126">
        <f t="shared" si="2"/>
        <v>4</v>
      </c>
      <c r="C126">
        <v>1</v>
      </c>
      <c r="G126" s="69"/>
      <c r="P126" s="69"/>
    </row>
    <row r="127" spans="1:16" ht="15">
      <c r="A127" s="69">
        <v>45660</v>
      </c>
      <c r="B127">
        <f t="shared" si="2"/>
        <v>5</v>
      </c>
      <c r="C127">
        <v>1</v>
      </c>
      <c r="G127" s="69"/>
      <c r="P127" s="69"/>
    </row>
    <row r="128" spans="1:16" ht="15">
      <c r="A128" s="69">
        <v>45661</v>
      </c>
      <c r="B128">
        <f t="shared" si="2"/>
        <v>6</v>
      </c>
      <c r="C128">
        <v>1</v>
      </c>
      <c r="G128" s="69"/>
      <c r="P128" s="69"/>
    </row>
    <row r="129" spans="1:16" ht="15">
      <c r="A129" s="69">
        <v>45662</v>
      </c>
      <c r="B129">
        <f t="shared" si="2"/>
        <v>7</v>
      </c>
      <c r="C129">
        <v>1</v>
      </c>
      <c r="G129" s="69"/>
      <c r="P129" s="69"/>
    </row>
    <row r="130" spans="1:16" ht="15">
      <c r="A130" s="69">
        <v>45663</v>
      </c>
      <c r="B130">
        <f t="shared" si="2"/>
        <v>1</v>
      </c>
      <c r="C130">
        <v>1</v>
      </c>
      <c r="G130" s="69"/>
      <c r="P130" s="69"/>
    </row>
    <row r="131" spans="1:16" ht="15">
      <c r="A131" s="69">
        <v>45664</v>
      </c>
      <c r="B131">
        <f t="shared" si="2"/>
        <v>2</v>
      </c>
      <c r="C131">
        <v>1</v>
      </c>
      <c r="G131" s="69"/>
      <c r="P131" s="69"/>
    </row>
    <row r="132" spans="1:16" ht="15">
      <c r="A132" s="69">
        <v>45665</v>
      </c>
      <c r="B132">
        <f t="shared" si="2"/>
        <v>3</v>
      </c>
      <c r="C132">
        <v>1</v>
      </c>
      <c r="G132" s="69"/>
      <c r="P132" s="69"/>
    </row>
    <row r="133" spans="1:16" ht="15">
      <c r="A133" s="69">
        <v>45666</v>
      </c>
      <c r="B133">
        <f t="shared" si="2"/>
        <v>4</v>
      </c>
      <c r="C133">
        <v>1</v>
      </c>
      <c r="G133" s="69"/>
      <c r="P133" s="69"/>
    </row>
    <row r="134" spans="1:16" ht="15">
      <c r="A134" s="69">
        <v>45667</v>
      </c>
      <c r="B134">
        <f t="shared" si="2"/>
        <v>5</v>
      </c>
      <c r="C134">
        <v>1</v>
      </c>
      <c r="G134" s="69"/>
      <c r="P134" s="69"/>
    </row>
    <row r="135" spans="1:16" ht="15">
      <c r="A135" s="69">
        <v>45668</v>
      </c>
      <c r="B135">
        <f t="shared" si="2"/>
        <v>6</v>
      </c>
      <c r="C135">
        <v>1</v>
      </c>
      <c r="G135" s="69"/>
      <c r="P135" s="69"/>
    </row>
    <row r="136" spans="1:16" ht="15">
      <c r="A136" s="69">
        <v>45669</v>
      </c>
      <c r="B136">
        <f t="shared" si="2"/>
        <v>7</v>
      </c>
      <c r="C136">
        <v>1</v>
      </c>
      <c r="G136" s="69"/>
      <c r="P136" s="69"/>
    </row>
    <row r="137" spans="1:16" ht="15">
      <c r="A137" s="69">
        <v>45670</v>
      </c>
      <c r="B137">
        <f t="shared" si="2"/>
        <v>1</v>
      </c>
      <c r="C137">
        <v>1</v>
      </c>
      <c r="G137" s="69"/>
      <c r="P137" s="69"/>
    </row>
    <row r="138" spans="1:16" ht="15">
      <c r="A138" s="69">
        <v>45671</v>
      </c>
      <c r="B138">
        <f t="shared" si="2"/>
        <v>2</v>
      </c>
      <c r="C138">
        <v>1</v>
      </c>
      <c r="G138" s="69"/>
      <c r="P138" s="69"/>
    </row>
    <row r="139" spans="1:16" ht="15">
      <c r="A139" s="69">
        <v>45672</v>
      </c>
      <c r="B139">
        <f t="shared" si="2"/>
        <v>3</v>
      </c>
      <c r="C139">
        <v>1</v>
      </c>
      <c r="G139" s="69"/>
      <c r="P139" s="69"/>
    </row>
    <row r="140" spans="1:16" ht="15">
      <c r="A140" s="69">
        <v>45673</v>
      </c>
      <c r="B140">
        <f t="shared" si="2"/>
        <v>4</v>
      </c>
      <c r="C140">
        <v>1</v>
      </c>
      <c r="G140" s="69"/>
      <c r="P140" s="69"/>
    </row>
    <row r="141" spans="1:16" ht="15">
      <c r="A141" s="69">
        <v>45674</v>
      </c>
      <c r="B141">
        <f t="shared" si="2"/>
        <v>5</v>
      </c>
      <c r="C141">
        <v>1</v>
      </c>
      <c r="G141" s="69"/>
      <c r="P141" s="69"/>
    </row>
    <row r="142" spans="1:16" ht="15">
      <c r="A142" s="69">
        <v>45675</v>
      </c>
      <c r="B142">
        <f t="shared" si="2"/>
        <v>6</v>
      </c>
      <c r="C142">
        <v>1</v>
      </c>
      <c r="G142" s="69"/>
      <c r="P142" s="69"/>
    </row>
    <row r="143" spans="1:16" ht="15">
      <c r="A143" s="69">
        <v>45676</v>
      </c>
      <c r="B143">
        <f t="shared" si="2"/>
        <v>7</v>
      </c>
      <c r="C143">
        <v>1</v>
      </c>
      <c r="G143" s="69"/>
      <c r="P143" s="69"/>
    </row>
    <row r="144" spans="1:16" ht="15">
      <c r="A144" s="69">
        <v>45677</v>
      </c>
      <c r="B144">
        <f t="shared" si="2"/>
        <v>1</v>
      </c>
      <c r="C144">
        <v>1</v>
      </c>
      <c r="G144" s="69"/>
      <c r="P144" s="69"/>
    </row>
    <row r="145" spans="1:16" ht="15">
      <c r="A145" s="69">
        <v>45678</v>
      </c>
      <c r="B145">
        <f t="shared" si="2"/>
        <v>2</v>
      </c>
      <c r="C145">
        <v>1</v>
      </c>
      <c r="G145" s="69"/>
      <c r="P145" s="69"/>
    </row>
    <row r="146" spans="1:16" ht="15">
      <c r="A146" s="69">
        <v>45679</v>
      </c>
      <c r="B146">
        <f t="shared" si="2"/>
        <v>3</v>
      </c>
      <c r="C146">
        <v>1</v>
      </c>
      <c r="G146" s="69"/>
      <c r="P146" s="69"/>
    </row>
    <row r="147" spans="1:16" ht="15">
      <c r="A147" s="69">
        <v>45680</v>
      </c>
      <c r="B147">
        <f t="shared" si="2"/>
        <v>4</v>
      </c>
      <c r="C147">
        <v>1</v>
      </c>
      <c r="G147" s="69"/>
      <c r="P147" s="69"/>
    </row>
    <row r="148" spans="1:16" ht="15">
      <c r="A148" s="69">
        <v>45681</v>
      </c>
      <c r="B148">
        <f t="shared" si="2"/>
        <v>5</v>
      </c>
      <c r="C148">
        <v>1</v>
      </c>
      <c r="G148" s="69"/>
      <c r="P148" s="69"/>
    </row>
    <row r="149" spans="1:16" ht="15">
      <c r="A149" s="69">
        <v>45682</v>
      </c>
      <c r="B149">
        <f t="shared" si="2"/>
        <v>6</v>
      </c>
      <c r="C149">
        <v>1</v>
      </c>
      <c r="G149" s="69"/>
      <c r="P149" s="69"/>
    </row>
    <row r="150" spans="1:16" ht="15">
      <c r="A150" s="69">
        <v>45683</v>
      </c>
      <c r="B150">
        <f t="shared" si="2"/>
        <v>7</v>
      </c>
      <c r="C150">
        <v>1</v>
      </c>
      <c r="G150" s="69"/>
      <c r="P150" s="69"/>
    </row>
    <row r="151" spans="1:16" ht="15">
      <c r="A151" s="69">
        <v>45684</v>
      </c>
      <c r="B151">
        <f t="shared" si="2"/>
        <v>1</v>
      </c>
      <c r="C151">
        <v>1</v>
      </c>
      <c r="G151" s="69"/>
      <c r="P151" s="69"/>
    </row>
    <row r="152" spans="1:16" ht="15">
      <c r="A152" s="69">
        <v>45685</v>
      </c>
      <c r="B152">
        <f t="shared" si="2"/>
        <v>2</v>
      </c>
      <c r="C152">
        <v>1</v>
      </c>
      <c r="G152" s="69"/>
      <c r="P152" s="69"/>
    </row>
    <row r="153" spans="1:16" ht="15">
      <c r="A153" s="69">
        <v>45686</v>
      </c>
      <c r="B153">
        <f t="shared" si="2"/>
        <v>3</v>
      </c>
      <c r="C153">
        <v>1</v>
      </c>
      <c r="G153" s="69"/>
      <c r="P153" s="69"/>
    </row>
    <row r="154" spans="1:16" ht="15">
      <c r="A154" s="69">
        <v>45687</v>
      </c>
      <c r="B154">
        <f t="shared" si="2"/>
        <v>4</v>
      </c>
      <c r="C154">
        <v>1</v>
      </c>
      <c r="G154" s="69"/>
      <c r="P154" s="69"/>
    </row>
    <row r="155" spans="1:16" ht="15">
      <c r="A155" s="69">
        <v>45688</v>
      </c>
      <c r="B155">
        <f t="shared" si="2"/>
        <v>5</v>
      </c>
      <c r="C155">
        <v>1</v>
      </c>
      <c r="G155" s="69"/>
      <c r="P155" s="69"/>
    </row>
    <row r="156" spans="1:16" ht="15">
      <c r="A156" s="69">
        <v>45689</v>
      </c>
      <c r="B156">
        <f t="shared" si="2"/>
        <v>6</v>
      </c>
      <c r="C156">
        <v>1</v>
      </c>
      <c r="G156" s="69"/>
      <c r="P156" s="69"/>
    </row>
    <row r="157" spans="1:16" ht="15">
      <c r="A157" s="69">
        <v>45690</v>
      </c>
      <c r="B157">
        <f t="shared" si="2"/>
        <v>7</v>
      </c>
      <c r="C157">
        <v>1</v>
      </c>
      <c r="G157" s="69"/>
      <c r="P157" s="69"/>
    </row>
    <row r="158" spans="1:16" ht="15">
      <c r="A158" s="69">
        <v>45691</v>
      </c>
      <c r="B158">
        <f t="shared" si="2"/>
        <v>1</v>
      </c>
      <c r="C158">
        <v>1</v>
      </c>
      <c r="G158" s="69"/>
      <c r="P158" s="69"/>
    </row>
    <row r="159" spans="1:16" ht="15">
      <c r="A159" s="69">
        <v>45692</v>
      </c>
      <c r="B159">
        <f t="shared" si="2"/>
        <v>2</v>
      </c>
      <c r="C159">
        <v>1</v>
      </c>
      <c r="G159" s="69"/>
      <c r="P159" s="69"/>
    </row>
    <row r="160" spans="1:16" ht="15">
      <c r="A160" s="69">
        <v>45693</v>
      </c>
      <c r="B160">
        <f t="shared" si="2"/>
        <v>3</v>
      </c>
      <c r="C160">
        <v>1</v>
      </c>
      <c r="G160" s="69"/>
      <c r="P160" s="69"/>
    </row>
    <row r="161" spans="1:16" ht="15">
      <c r="A161" s="69">
        <v>45694</v>
      </c>
      <c r="B161">
        <f t="shared" si="2"/>
        <v>4</v>
      </c>
      <c r="C161">
        <v>1</v>
      </c>
      <c r="G161" s="69"/>
      <c r="P161" s="69"/>
    </row>
    <row r="162" spans="1:16" ht="15">
      <c r="A162" s="69">
        <v>45695</v>
      </c>
      <c r="B162">
        <f t="shared" si="2"/>
        <v>5</v>
      </c>
      <c r="C162">
        <v>1</v>
      </c>
      <c r="G162" s="69"/>
      <c r="P162" s="69"/>
    </row>
    <row r="163" spans="1:16" ht="15">
      <c r="A163" s="69">
        <v>45696</v>
      </c>
      <c r="B163">
        <f t="shared" si="2"/>
        <v>6</v>
      </c>
      <c r="C163">
        <v>1</v>
      </c>
      <c r="G163" s="69"/>
      <c r="P163" s="69"/>
    </row>
    <row r="164" spans="1:16" ht="15">
      <c r="A164" s="69">
        <v>45697</v>
      </c>
      <c r="B164">
        <f t="shared" si="2"/>
        <v>7</v>
      </c>
      <c r="C164">
        <v>1</v>
      </c>
      <c r="G164" s="69"/>
      <c r="P164" s="69"/>
    </row>
    <row r="165" spans="1:16" ht="15">
      <c r="A165" s="69">
        <v>45698</v>
      </c>
      <c r="B165">
        <f t="shared" si="2"/>
        <v>1</v>
      </c>
      <c r="C165">
        <v>1</v>
      </c>
      <c r="G165" s="69"/>
      <c r="P165" s="69"/>
    </row>
    <row r="166" spans="1:16" ht="15">
      <c r="A166" s="69">
        <v>45699</v>
      </c>
      <c r="B166">
        <f t="shared" si="2"/>
        <v>2</v>
      </c>
      <c r="C166">
        <v>1</v>
      </c>
      <c r="G166" s="69"/>
      <c r="P166" s="69"/>
    </row>
    <row r="167" spans="1:16" ht="15">
      <c r="A167" s="69">
        <v>45700</v>
      </c>
      <c r="B167">
        <f t="shared" si="2"/>
        <v>3</v>
      </c>
      <c r="C167">
        <v>1</v>
      </c>
      <c r="G167" s="69"/>
      <c r="P167" s="69"/>
    </row>
    <row r="168" spans="1:16" ht="15">
      <c r="A168" s="69">
        <v>45701</v>
      </c>
      <c r="B168">
        <f t="shared" si="2"/>
        <v>4</v>
      </c>
      <c r="C168">
        <v>1</v>
      </c>
      <c r="G168" s="69"/>
      <c r="P168" s="69"/>
    </row>
    <row r="169" spans="1:16" ht="15">
      <c r="A169" s="69">
        <v>45702</v>
      </c>
      <c r="B169">
        <f t="shared" si="2"/>
        <v>5</v>
      </c>
      <c r="C169">
        <v>1</v>
      </c>
      <c r="G169" s="69"/>
      <c r="P169" s="69"/>
    </row>
    <row r="170" spans="1:16" ht="15">
      <c r="A170" s="69">
        <v>45703</v>
      </c>
      <c r="B170">
        <f t="shared" si="2"/>
        <v>6</v>
      </c>
      <c r="C170">
        <v>1</v>
      </c>
      <c r="G170" s="69"/>
      <c r="P170" s="69"/>
    </row>
    <row r="171" spans="1:16" ht="15">
      <c r="A171" s="69">
        <v>45704</v>
      </c>
      <c r="B171">
        <f t="shared" si="2"/>
        <v>7</v>
      </c>
      <c r="C171">
        <v>1</v>
      </c>
      <c r="G171" s="69"/>
      <c r="P171" s="69"/>
    </row>
    <row r="172" spans="1:16" ht="15">
      <c r="A172" s="69">
        <v>45705</v>
      </c>
      <c r="B172">
        <f t="shared" si="2"/>
        <v>1</v>
      </c>
      <c r="C172">
        <v>1</v>
      </c>
      <c r="G172" s="69"/>
      <c r="P172" s="69"/>
    </row>
    <row r="173" spans="1:16" ht="15">
      <c r="A173" s="69">
        <v>45706</v>
      </c>
      <c r="B173">
        <f t="shared" si="2"/>
        <v>2</v>
      </c>
      <c r="C173">
        <v>1</v>
      </c>
      <c r="G173" s="69"/>
      <c r="P173" s="69"/>
    </row>
    <row r="174" spans="1:16" ht="15">
      <c r="A174" s="69">
        <v>45707</v>
      </c>
      <c r="B174">
        <f t="shared" si="2"/>
        <v>3</v>
      </c>
      <c r="C174">
        <v>1</v>
      </c>
      <c r="G174" s="69"/>
      <c r="P174" s="69"/>
    </row>
    <row r="175" spans="1:16" ht="15">
      <c r="A175" s="69">
        <v>45708</v>
      </c>
      <c r="B175">
        <f t="shared" si="2"/>
        <v>4</v>
      </c>
      <c r="C175">
        <v>1</v>
      </c>
      <c r="G175" s="69"/>
      <c r="P175" s="69"/>
    </row>
    <row r="176" spans="1:16" ht="15">
      <c r="A176" s="69">
        <v>45709</v>
      </c>
      <c r="B176">
        <f t="shared" si="2"/>
        <v>5</v>
      </c>
      <c r="C176">
        <v>1</v>
      </c>
      <c r="G176" s="69"/>
      <c r="P176" s="69"/>
    </row>
    <row r="177" spans="1:16" ht="15">
      <c r="A177" s="69">
        <v>45710</v>
      </c>
      <c r="B177">
        <f t="shared" si="2"/>
        <v>6</v>
      </c>
      <c r="C177">
        <v>1</v>
      </c>
      <c r="G177" s="69"/>
      <c r="P177" s="69"/>
    </row>
    <row r="178" spans="1:16" ht="15">
      <c r="A178" s="69">
        <v>45711</v>
      </c>
      <c r="B178">
        <f t="shared" si="2"/>
        <v>7</v>
      </c>
      <c r="C178">
        <v>1</v>
      </c>
      <c r="G178" s="69"/>
      <c r="P178" s="69"/>
    </row>
    <row r="179" spans="1:16" ht="15">
      <c r="A179" s="69">
        <v>45712</v>
      </c>
      <c r="B179">
        <f t="shared" si="2"/>
        <v>1</v>
      </c>
      <c r="C179">
        <v>1</v>
      </c>
      <c r="G179" s="69"/>
      <c r="P179" s="69"/>
    </row>
    <row r="180" spans="1:16" ht="15">
      <c r="A180" s="69">
        <v>45713</v>
      </c>
      <c r="B180">
        <f aca="true" t="shared" si="3" ref="B180:B243">WEEKDAY(A180,2)</f>
        <v>2</v>
      </c>
      <c r="C180">
        <v>1</v>
      </c>
      <c r="G180" s="69"/>
      <c r="P180" s="69"/>
    </row>
    <row r="181" spans="1:16" ht="15">
      <c r="A181" s="69">
        <v>45714</v>
      </c>
      <c r="B181">
        <f t="shared" si="3"/>
        <v>3</v>
      </c>
      <c r="C181">
        <v>1</v>
      </c>
      <c r="G181" s="69"/>
      <c r="P181" s="69"/>
    </row>
    <row r="182" spans="1:16" ht="15">
      <c r="A182" s="69">
        <v>45715</v>
      </c>
      <c r="B182">
        <f t="shared" si="3"/>
        <v>4</v>
      </c>
      <c r="C182">
        <v>1</v>
      </c>
      <c r="G182" s="69"/>
      <c r="P182" s="69"/>
    </row>
    <row r="183" spans="1:16" ht="15">
      <c r="A183" s="69">
        <v>45716</v>
      </c>
      <c r="B183">
        <f t="shared" si="3"/>
        <v>5</v>
      </c>
      <c r="C183">
        <v>1</v>
      </c>
      <c r="G183" s="69"/>
      <c r="P183" s="69"/>
    </row>
    <row r="184" spans="1:16" ht="15">
      <c r="A184" s="69">
        <v>45717</v>
      </c>
      <c r="B184">
        <f t="shared" si="3"/>
        <v>6</v>
      </c>
      <c r="C184">
        <v>1</v>
      </c>
      <c r="G184" s="69"/>
      <c r="P184" s="69"/>
    </row>
    <row r="185" spans="1:16" ht="15">
      <c r="A185" s="69">
        <v>45718</v>
      </c>
      <c r="B185">
        <f t="shared" si="3"/>
        <v>7</v>
      </c>
      <c r="C185">
        <v>1</v>
      </c>
      <c r="G185" s="69"/>
      <c r="P185" s="69"/>
    </row>
    <row r="186" spans="1:16" ht="15">
      <c r="A186" s="69">
        <v>45719</v>
      </c>
      <c r="B186">
        <f t="shared" si="3"/>
        <v>1</v>
      </c>
      <c r="C186">
        <v>1</v>
      </c>
      <c r="G186" s="69"/>
      <c r="P186" s="69"/>
    </row>
    <row r="187" spans="1:16" ht="15">
      <c r="A187" s="69">
        <v>45720</v>
      </c>
      <c r="B187">
        <f t="shared" si="3"/>
        <v>2</v>
      </c>
      <c r="C187">
        <v>1</v>
      </c>
      <c r="G187" s="69"/>
      <c r="P187" s="69"/>
    </row>
    <row r="188" spans="1:16" ht="15">
      <c r="A188" s="69">
        <v>45721</v>
      </c>
      <c r="B188">
        <f t="shared" si="3"/>
        <v>3</v>
      </c>
      <c r="C188">
        <v>1</v>
      </c>
      <c r="G188" s="69"/>
      <c r="P188" s="69"/>
    </row>
    <row r="189" spans="1:16" ht="15">
      <c r="A189" s="69">
        <v>45722</v>
      </c>
      <c r="B189">
        <f t="shared" si="3"/>
        <v>4</v>
      </c>
      <c r="C189">
        <v>1</v>
      </c>
      <c r="G189" s="69"/>
      <c r="P189" s="69"/>
    </row>
    <row r="190" spans="1:16" ht="15">
      <c r="A190" s="69">
        <v>45723</v>
      </c>
      <c r="B190">
        <f t="shared" si="3"/>
        <v>5</v>
      </c>
      <c r="C190">
        <v>1</v>
      </c>
      <c r="G190" s="69"/>
      <c r="P190" s="69"/>
    </row>
    <row r="191" spans="1:16" ht="15">
      <c r="A191" s="69">
        <v>45724</v>
      </c>
      <c r="B191">
        <f t="shared" si="3"/>
        <v>6</v>
      </c>
      <c r="C191">
        <v>1</v>
      </c>
      <c r="G191" s="69"/>
      <c r="P191" s="69"/>
    </row>
    <row r="192" spans="1:16" ht="15">
      <c r="A192" s="69">
        <v>45725</v>
      </c>
      <c r="B192">
        <f t="shared" si="3"/>
        <v>7</v>
      </c>
      <c r="C192">
        <v>1</v>
      </c>
      <c r="G192" s="69"/>
      <c r="P192" s="69"/>
    </row>
    <row r="193" spans="1:16" ht="15">
      <c r="A193" s="69">
        <v>45726</v>
      </c>
      <c r="B193">
        <f t="shared" si="3"/>
        <v>1</v>
      </c>
      <c r="C193">
        <v>1</v>
      </c>
      <c r="G193" s="69"/>
      <c r="P193" s="69"/>
    </row>
    <row r="194" spans="1:16" ht="15">
      <c r="A194" s="69">
        <v>45727</v>
      </c>
      <c r="B194">
        <f t="shared" si="3"/>
        <v>2</v>
      </c>
      <c r="C194">
        <v>1</v>
      </c>
      <c r="G194" s="69"/>
      <c r="P194" s="69"/>
    </row>
    <row r="195" spans="1:16" ht="15">
      <c r="A195" s="69">
        <v>45728</v>
      </c>
      <c r="B195">
        <f t="shared" si="3"/>
        <v>3</v>
      </c>
      <c r="C195">
        <v>1</v>
      </c>
      <c r="G195" s="69"/>
      <c r="P195" s="69"/>
    </row>
    <row r="196" spans="1:16" ht="15">
      <c r="A196" s="69">
        <v>45729</v>
      </c>
      <c r="B196">
        <f t="shared" si="3"/>
        <v>4</v>
      </c>
      <c r="C196">
        <v>1</v>
      </c>
      <c r="G196" s="69"/>
      <c r="P196" s="69"/>
    </row>
    <row r="197" spans="1:16" ht="15">
      <c r="A197" s="69">
        <v>45730</v>
      </c>
      <c r="B197">
        <f t="shared" si="3"/>
        <v>5</v>
      </c>
      <c r="C197">
        <v>1</v>
      </c>
      <c r="G197" s="69"/>
      <c r="P197" s="69"/>
    </row>
    <row r="198" spans="1:16" ht="15">
      <c r="A198" s="69">
        <v>45731</v>
      </c>
      <c r="B198">
        <f t="shared" si="3"/>
        <v>6</v>
      </c>
      <c r="C198">
        <v>1</v>
      </c>
      <c r="G198" s="69"/>
      <c r="P198" s="69"/>
    </row>
    <row r="199" spans="1:16" ht="15">
      <c r="A199" s="69">
        <v>45732</v>
      </c>
      <c r="B199">
        <f t="shared" si="3"/>
        <v>7</v>
      </c>
      <c r="C199">
        <v>1</v>
      </c>
      <c r="G199" s="69"/>
      <c r="P199" s="69"/>
    </row>
    <row r="200" spans="1:16" ht="15">
      <c r="A200" s="69">
        <v>45733</v>
      </c>
      <c r="B200">
        <f t="shared" si="3"/>
        <v>1</v>
      </c>
      <c r="C200">
        <v>1</v>
      </c>
      <c r="G200" s="69"/>
      <c r="P200" s="69"/>
    </row>
    <row r="201" spans="1:16" ht="15">
      <c r="A201" s="69">
        <v>45734</v>
      </c>
      <c r="B201">
        <f t="shared" si="3"/>
        <v>2</v>
      </c>
      <c r="C201">
        <v>1</v>
      </c>
      <c r="G201" s="69"/>
      <c r="P201" s="69"/>
    </row>
    <row r="202" spans="1:16" ht="15">
      <c r="A202" s="69">
        <v>45735</v>
      </c>
      <c r="B202">
        <f t="shared" si="3"/>
        <v>3</v>
      </c>
      <c r="C202">
        <v>1</v>
      </c>
      <c r="G202" s="69"/>
      <c r="P202" s="69"/>
    </row>
    <row r="203" spans="1:16" ht="15">
      <c r="A203" s="69">
        <v>45736</v>
      </c>
      <c r="B203">
        <f t="shared" si="3"/>
        <v>4</v>
      </c>
      <c r="C203">
        <v>1</v>
      </c>
      <c r="G203" s="69"/>
      <c r="P203" s="69"/>
    </row>
    <row r="204" spans="1:16" ht="15">
      <c r="A204" s="69">
        <v>45737</v>
      </c>
      <c r="B204">
        <f t="shared" si="3"/>
        <v>5</v>
      </c>
      <c r="C204">
        <v>1</v>
      </c>
      <c r="G204" s="69"/>
      <c r="P204" s="69"/>
    </row>
    <row r="205" spans="1:16" ht="15">
      <c r="A205" s="69">
        <v>45738</v>
      </c>
      <c r="B205">
        <f t="shared" si="3"/>
        <v>6</v>
      </c>
      <c r="C205">
        <v>1</v>
      </c>
      <c r="G205" s="69"/>
      <c r="P205" s="69"/>
    </row>
    <row r="206" spans="1:16" ht="15">
      <c r="A206" s="69">
        <v>45739</v>
      </c>
      <c r="B206">
        <f t="shared" si="3"/>
        <v>7</v>
      </c>
      <c r="C206">
        <v>1</v>
      </c>
      <c r="G206" s="69"/>
      <c r="P206" s="69"/>
    </row>
    <row r="207" spans="1:16" ht="15">
      <c r="A207" s="69">
        <v>45740</v>
      </c>
      <c r="B207">
        <f t="shared" si="3"/>
        <v>1</v>
      </c>
      <c r="C207">
        <v>1</v>
      </c>
      <c r="G207" s="69"/>
      <c r="P207" s="69"/>
    </row>
    <row r="208" spans="1:16" ht="15">
      <c r="A208" s="69">
        <v>45741</v>
      </c>
      <c r="B208">
        <f t="shared" si="3"/>
        <v>2</v>
      </c>
      <c r="C208">
        <v>1</v>
      </c>
      <c r="G208" s="69"/>
      <c r="P208" s="69"/>
    </row>
    <row r="209" spans="1:16" ht="15">
      <c r="A209" s="69">
        <v>45742</v>
      </c>
      <c r="B209">
        <f t="shared" si="3"/>
        <v>3</v>
      </c>
      <c r="C209">
        <v>1</v>
      </c>
      <c r="G209" s="69"/>
      <c r="P209" s="69"/>
    </row>
    <row r="210" spans="1:16" ht="15">
      <c r="A210" s="69">
        <v>45743</v>
      </c>
      <c r="B210">
        <f t="shared" si="3"/>
        <v>4</v>
      </c>
      <c r="C210">
        <v>1</v>
      </c>
      <c r="G210" s="69"/>
      <c r="P210" s="69"/>
    </row>
    <row r="211" spans="1:16" ht="15">
      <c r="A211" s="69">
        <v>45744</v>
      </c>
      <c r="B211">
        <f t="shared" si="3"/>
        <v>5</v>
      </c>
      <c r="C211">
        <v>1</v>
      </c>
      <c r="G211" s="69"/>
      <c r="P211" s="69"/>
    </row>
    <row r="212" spans="1:16" ht="15">
      <c r="A212" s="69">
        <v>45745</v>
      </c>
      <c r="B212">
        <f t="shared" si="3"/>
        <v>6</v>
      </c>
      <c r="C212">
        <v>1</v>
      </c>
      <c r="G212" s="69"/>
      <c r="P212" s="69"/>
    </row>
    <row r="213" spans="1:16" ht="15">
      <c r="A213" s="69">
        <v>45746</v>
      </c>
      <c r="B213">
        <f t="shared" si="3"/>
        <v>7</v>
      </c>
      <c r="C213">
        <v>1</v>
      </c>
      <c r="G213" s="69"/>
      <c r="P213" s="69"/>
    </row>
    <row r="214" spans="1:16" ht="15">
      <c r="A214" s="69">
        <v>45747</v>
      </c>
      <c r="B214">
        <f t="shared" si="3"/>
        <v>1</v>
      </c>
      <c r="C214">
        <v>1</v>
      </c>
      <c r="G214" s="69"/>
      <c r="P214" s="69"/>
    </row>
    <row r="215" spans="1:16" ht="15">
      <c r="A215" s="69">
        <v>45748</v>
      </c>
      <c r="B215">
        <f t="shared" si="3"/>
        <v>2</v>
      </c>
      <c r="C215">
        <v>1</v>
      </c>
      <c r="G215" s="69"/>
      <c r="P215" s="69"/>
    </row>
    <row r="216" spans="1:16" ht="15">
      <c r="A216" s="69">
        <v>45749</v>
      </c>
      <c r="B216">
        <f t="shared" si="3"/>
        <v>3</v>
      </c>
      <c r="C216">
        <v>1</v>
      </c>
      <c r="G216" s="69"/>
      <c r="P216" s="69"/>
    </row>
    <row r="217" spans="1:16" ht="15">
      <c r="A217" s="69">
        <v>45750</v>
      </c>
      <c r="B217">
        <f t="shared" si="3"/>
        <v>4</v>
      </c>
      <c r="C217">
        <v>1</v>
      </c>
      <c r="G217" s="69"/>
      <c r="P217" s="69"/>
    </row>
    <row r="218" spans="1:16" ht="15">
      <c r="A218" s="69">
        <v>45751</v>
      </c>
      <c r="B218">
        <f t="shared" si="3"/>
        <v>5</v>
      </c>
      <c r="C218">
        <v>1</v>
      </c>
      <c r="G218" s="69"/>
      <c r="P218" s="69"/>
    </row>
    <row r="219" spans="1:16" ht="15">
      <c r="A219" s="69">
        <v>45752</v>
      </c>
      <c r="B219">
        <f t="shared" si="3"/>
        <v>6</v>
      </c>
      <c r="C219">
        <v>1</v>
      </c>
      <c r="G219" s="69"/>
      <c r="P219" s="69"/>
    </row>
    <row r="220" spans="1:16" ht="15">
      <c r="A220" s="69">
        <v>45753</v>
      </c>
      <c r="B220">
        <f t="shared" si="3"/>
        <v>7</v>
      </c>
      <c r="C220">
        <v>1</v>
      </c>
      <c r="G220" s="69"/>
      <c r="P220" s="69"/>
    </row>
    <row r="221" spans="1:16" ht="15">
      <c r="A221" s="69">
        <v>45754</v>
      </c>
      <c r="B221">
        <f t="shared" si="3"/>
        <v>1</v>
      </c>
      <c r="C221">
        <v>1</v>
      </c>
      <c r="G221" s="69"/>
      <c r="P221" s="69"/>
    </row>
    <row r="222" spans="1:16" ht="15">
      <c r="A222" s="69">
        <v>45755</v>
      </c>
      <c r="B222">
        <f t="shared" si="3"/>
        <v>2</v>
      </c>
      <c r="C222">
        <v>1</v>
      </c>
      <c r="G222" s="69"/>
      <c r="P222" s="69"/>
    </row>
    <row r="223" spans="1:16" ht="15">
      <c r="A223" s="69">
        <v>45756</v>
      </c>
      <c r="B223">
        <f t="shared" si="3"/>
        <v>3</v>
      </c>
      <c r="C223">
        <v>1</v>
      </c>
      <c r="G223" s="69"/>
      <c r="P223" s="69"/>
    </row>
    <row r="224" spans="1:16" ht="15">
      <c r="A224" s="69">
        <v>45757</v>
      </c>
      <c r="B224">
        <f t="shared" si="3"/>
        <v>4</v>
      </c>
      <c r="C224">
        <v>1</v>
      </c>
      <c r="G224" s="69"/>
      <c r="P224" s="69"/>
    </row>
    <row r="225" spans="1:16" ht="15">
      <c r="A225" s="69">
        <v>45758</v>
      </c>
      <c r="B225">
        <f t="shared" si="3"/>
        <v>5</v>
      </c>
      <c r="C225">
        <v>1</v>
      </c>
      <c r="G225" s="69"/>
      <c r="P225" s="69"/>
    </row>
    <row r="226" spans="1:16" ht="15">
      <c r="A226" s="69">
        <v>45759</v>
      </c>
      <c r="B226">
        <f t="shared" si="3"/>
        <v>6</v>
      </c>
      <c r="C226">
        <v>1</v>
      </c>
      <c r="G226" s="69"/>
      <c r="P226" s="69"/>
    </row>
    <row r="227" spans="1:16" ht="15">
      <c r="A227" s="69">
        <v>45760</v>
      </c>
      <c r="B227">
        <f t="shared" si="3"/>
        <v>7</v>
      </c>
      <c r="C227">
        <v>1</v>
      </c>
      <c r="G227" s="69"/>
      <c r="P227" s="69"/>
    </row>
    <row r="228" spans="1:16" ht="15">
      <c r="A228" s="69">
        <v>45761</v>
      </c>
      <c r="B228">
        <f t="shared" si="3"/>
        <v>1</v>
      </c>
      <c r="C228">
        <v>1</v>
      </c>
      <c r="G228" s="69"/>
      <c r="P228" s="69"/>
    </row>
    <row r="229" spans="1:16" ht="15">
      <c r="A229" s="69">
        <v>45762</v>
      </c>
      <c r="B229">
        <f t="shared" si="3"/>
        <v>2</v>
      </c>
      <c r="C229">
        <v>1</v>
      </c>
      <c r="G229" s="69"/>
      <c r="P229" s="69"/>
    </row>
    <row r="230" spans="1:16" ht="15">
      <c r="A230" s="69">
        <v>45763</v>
      </c>
      <c r="B230">
        <f t="shared" si="3"/>
        <v>3</v>
      </c>
      <c r="C230">
        <v>1</v>
      </c>
      <c r="G230" s="69"/>
      <c r="P230" s="69"/>
    </row>
    <row r="231" spans="1:16" ht="15">
      <c r="A231" s="69">
        <v>45764</v>
      </c>
      <c r="B231">
        <f t="shared" si="3"/>
        <v>4</v>
      </c>
      <c r="C231">
        <v>1</v>
      </c>
      <c r="G231" s="69"/>
      <c r="P231" s="69"/>
    </row>
    <row r="232" spans="1:16" ht="15">
      <c r="A232" s="69">
        <v>45765</v>
      </c>
      <c r="B232">
        <f t="shared" si="3"/>
        <v>5</v>
      </c>
      <c r="C232">
        <v>1</v>
      </c>
      <c r="G232" s="69"/>
      <c r="P232" s="69"/>
    </row>
    <row r="233" spans="1:16" ht="15">
      <c r="A233" s="69">
        <v>45766</v>
      </c>
      <c r="B233">
        <f t="shared" si="3"/>
        <v>6</v>
      </c>
      <c r="C233">
        <v>1</v>
      </c>
      <c r="G233" s="69"/>
      <c r="P233" s="69"/>
    </row>
    <row r="234" spans="1:16" ht="15">
      <c r="A234" s="69">
        <v>45767</v>
      </c>
      <c r="B234">
        <f t="shared" si="3"/>
        <v>7</v>
      </c>
      <c r="C234">
        <v>1</v>
      </c>
      <c r="G234" s="69"/>
      <c r="P234" s="69"/>
    </row>
    <row r="235" spans="1:16" ht="15">
      <c r="A235" s="69">
        <v>45768</v>
      </c>
      <c r="B235">
        <f t="shared" si="3"/>
        <v>1</v>
      </c>
      <c r="C235">
        <v>1</v>
      </c>
      <c r="G235" s="69"/>
      <c r="P235" s="69"/>
    </row>
    <row r="236" spans="1:16" ht="15">
      <c r="A236" s="69">
        <v>45769</v>
      </c>
      <c r="B236">
        <f t="shared" si="3"/>
        <v>2</v>
      </c>
      <c r="C236">
        <v>1</v>
      </c>
      <c r="G236" s="69"/>
      <c r="P236" s="69"/>
    </row>
    <row r="237" spans="1:16" ht="15">
      <c r="A237" s="69">
        <v>45770</v>
      </c>
      <c r="B237">
        <f t="shared" si="3"/>
        <v>3</v>
      </c>
      <c r="C237">
        <v>1</v>
      </c>
      <c r="G237" s="69"/>
      <c r="P237" s="69"/>
    </row>
    <row r="238" spans="1:16" ht="15">
      <c r="A238" s="69">
        <v>45771</v>
      </c>
      <c r="B238">
        <f t="shared" si="3"/>
        <v>4</v>
      </c>
      <c r="C238">
        <v>1</v>
      </c>
      <c r="G238" s="69"/>
      <c r="P238" s="69"/>
    </row>
    <row r="239" spans="1:16" ht="15">
      <c r="A239" s="69">
        <v>45772</v>
      </c>
      <c r="B239">
        <f t="shared" si="3"/>
        <v>5</v>
      </c>
      <c r="C239">
        <v>1</v>
      </c>
      <c r="G239" s="69"/>
      <c r="P239" s="69"/>
    </row>
    <row r="240" spans="1:16" ht="15">
      <c r="A240" s="69">
        <v>45773</v>
      </c>
      <c r="B240">
        <f t="shared" si="3"/>
        <v>6</v>
      </c>
      <c r="C240">
        <v>1</v>
      </c>
      <c r="G240" s="69"/>
      <c r="P240" s="69"/>
    </row>
    <row r="241" spans="1:16" ht="15">
      <c r="A241" s="69">
        <v>45774</v>
      </c>
      <c r="B241">
        <f t="shared" si="3"/>
        <v>7</v>
      </c>
      <c r="C241">
        <v>1</v>
      </c>
      <c r="G241" s="69"/>
      <c r="P241" s="69"/>
    </row>
    <row r="242" spans="1:16" ht="15">
      <c r="A242" s="69">
        <v>45775</v>
      </c>
      <c r="B242">
        <f t="shared" si="3"/>
        <v>1</v>
      </c>
      <c r="C242">
        <v>1</v>
      </c>
      <c r="G242" s="69"/>
      <c r="P242" s="69"/>
    </row>
    <row r="243" spans="1:16" ht="15">
      <c r="A243" s="69">
        <v>45776</v>
      </c>
      <c r="B243">
        <f t="shared" si="3"/>
        <v>2</v>
      </c>
      <c r="C243">
        <v>1</v>
      </c>
      <c r="G243" s="69"/>
      <c r="P243" s="69"/>
    </row>
    <row r="244" spans="1:16" ht="15">
      <c r="A244" s="69">
        <v>45777</v>
      </c>
      <c r="B244">
        <f aca="true" t="shared" si="4" ref="B244:B307">WEEKDAY(A244,2)</f>
        <v>3</v>
      </c>
      <c r="C244">
        <v>1</v>
      </c>
      <c r="G244" s="69"/>
      <c r="P244" s="69"/>
    </row>
    <row r="245" spans="1:16" ht="15">
      <c r="A245" s="69">
        <v>45778</v>
      </c>
      <c r="B245">
        <f t="shared" si="4"/>
        <v>4</v>
      </c>
      <c r="C245">
        <v>1</v>
      </c>
      <c r="G245" s="69"/>
      <c r="P245" s="69"/>
    </row>
    <row r="246" spans="1:16" ht="15">
      <c r="A246" s="69">
        <v>45779</v>
      </c>
      <c r="B246">
        <f t="shared" si="4"/>
        <v>5</v>
      </c>
      <c r="C246">
        <v>1</v>
      </c>
      <c r="G246" s="69"/>
      <c r="P246" s="69"/>
    </row>
    <row r="247" spans="1:16" ht="15">
      <c r="A247" s="69">
        <v>45780</v>
      </c>
      <c r="B247">
        <f t="shared" si="4"/>
        <v>6</v>
      </c>
      <c r="C247">
        <v>1</v>
      </c>
      <c r="G247" s="69"/>
      <c r="P247" s="69"/>
    </row>
    <row r="248" spans="1:16" ht="15">
      <c r="A248" s="69">
        <v>45781</v>
      </c>
      <c r="B248">
        <f t="shared" si="4"/>
        <v>7</v>
      </c>
      <c r="C248">
        <v>1</v>
      </c>
      <c r="G248" s="69"/>
      <c r="P248" s="69"/>
    </row>
    <row r="249" spans="1:16" ht="15">
      <c r="A249" s="69">
        <v>45782</v>
      </c>
      <c r="B249">
        <f t="shared" si="4"/>
        <v>1</v>
      </c>
      <c r="C249">
        <v>1</v>
      </c>
      <c r="G249" s="69"/>
      <c r="P249" s="69"/>
    </row>
    <row r="250" spans="1:16" ht="15">
      <c r="A250" s="69">
        <v>45783</v>
      </c>
      <c r="B250">
        <f t="shared" si="4"/>
        <v>2</v>
      </c>
      <c r="C250">
        <v>1</v>
      </c>
      <c r="G250" s="69"/>
      <c r="P250" s="69"/>
    </row>
    <row r="251" spans="1:16" ht="15">
      <c r="A251" s="69">
        <v>45784</v>
      </c>
      <c r="B251">
        <f t="shared" si="4"/>
        <v>3</v>
      </c>
      <c r="C251">
        <v>1</v>
      </c>
      <c r="G251" s="69"/>
      <c r="P251" s="69"/>
    </row>
    <row r="252" spans="1:16" ht="15">
      <c r="A252" s="69">
        <v>45785</v>
      </c>
      <c r="B252">
        <f t="shared" si="4"/>
        <v>4</v>
      </c>
      <c r="C252">
        <v>1</v>
      </c>
      <c r="G252" s="69"/>
      <c r="P252" s="69"/>
    </row>
    <row r="253" spans="1:16" ht="15">
      <c r="A253" s="69">
        <v>45786</v>
      </c>
      <c r="B253">
        <f t="shared" si="4"/>
        <v>5</v>
      </c>
      <c r="C253">
        <v>1</v>
      </c>
      <c r="G253" s="69"/>
      <c r="P253" s="69"/>
    </row>
    <row r="254" spans="1:16" ht="15">
      <c r="A254" s="69">
        <v>45787</v>
      </c>
      <c r="B254">
        <f t="shared" si="4"/>
        <v>6</v>
      </c>
      <c r="C254">
        <v>1</v>
      </c>
      <c r="G254" s="69"/>
      <c r="P254" s="69"/>
    </row>
    <row r="255" spans="1:16" ht="15">
      <c r="A255" s="69">
        <v>45788</v>
      </c>
      <c r="B255">
        <f t="shared" si="4"/>
        <v>7</v>
      </c>
      <c r="C255">
        <v>1</v>
      </c>
      <c r="G255" s="69"/>
      <c r="P255" s="69"/>
    </row>
    <row r="256" spans="1:16" ht="15">
      <c r="A256" s="69">
        <v>45789</v>
      </c>
      <c r="B256">
        <f t="shared" si="4"/>
        <v>1</v>
      </c>
      <c r="C256">
        <v>1</v>
      </c>
      <c r="G256" s="69"/>
      <c r="P256" s="69"/>
    </row>
    <row r="257" spans="1:16" ht="15">
      <c r="A257" s="69">
        <v>45790</v>
      </c>
      <c r="B257">
        <f t="shared" si="4"/>
        <v>2</v>
      </c>
      <c r="C257">
        <v>1</v>
      </c>
      <c r="G257" s="69"/>
      <c r="P257" s="69"/>
    </row>
    <row r="258" spans="1:16" ht="15">
      <c r="A258" s="69">
        <v>45791</v>
      </c>
      <c r="B258">
        <f t="shared" si="4"/>
        <v>3</v>
      </c>
      <c r="C258">
        <v>1</v>
      </c>
      <c r="G258" s="69"/>
      <c r="P258" s="69"/>
    </row>
    <row r="259" spans="1:16" ht="15">
      <c r="A259" s="69">
        <v>45792</v>
      </c>
      <c r="B259">
        <f t="shared" si="4"/>
        <v>4</v>
      </c>
      <c r="C259">
        <v>1</v>
      </c>
      <c r="G259" s="69"/>
      <c r="P259" s="69"/>
    </row>
    <row r="260" spans="1:16" ht="15">
      <c r="A260" s="69">
        <v>45793</v>
      </c>
      <c r="B260">
        <f t="shared" si="4"/>
        <v>5</v>
      </c>
      <c r="C260">
        <v>1</v>
      </c>
      <c r="G260" s="69"/>
      <c r="P260" s="69"/>
    </row>
    <row r="261" spans="1:16" ht="15">
      <c r="A261" s="69">
        <v>45794</v>
      </c>
      <c r="B261">
        <f t="shared" si="4"/>
        <v>6</v>
      </c>
      <c r="C261">
        <v>1</v>
      </c>
      <c r="G261" s="69"/>
      <c r="P261" s="69"/>
    </row>
    <row r="262" spans="1:16" ht="15">
      <c r="A262" s="69">
        <v>45795</v>
      </c>
      <c r="B262">
        <f t="shared" si="4"/>
        <v>7</v>
      </c>
      <c r="C262">
        <v>1</v>
      </c>
      <c r="G262" s="69"/>
      <c r="P262" s="69"/>
    </row>
    <row r="263" spans="1:16" ht="15">
      <c r="A263" s="69">
        <v>45796</v>
      </c>
      <c r="B263">
        <f t="shared" si="4"/>
        <v>1</v>
      </c>
      <c r="C263">
        <v>1</v>
      </c>
      <c r="G263" s="69"/>
      <c r="P263" s="69"/>
    </row>
    <row r="264" spans="1:16" ht="15">
      <c r="A264" s="69">
        <v>45797</v>
      </c>
      <c r="B264">
        <f t="shared" si="4"/>
        <v>2</v>
      </c>
      <c r="C264">
        <v>1</v>
      </c>
      <c r="G264" s="69"/>
      <c r="P264" s="69"/>
    </row>
    <row r="265" spans="1:16" ht="15">
      <c r="A265" s="69">
        <v>45798</v>
      </c>
      <c r="B265">
        <f t="shared" si="4"/>
        <v>3</v>
      </c>
      <c r="C265">
        <v>1</v>
      </c>
      <c r="G265" s="69"/>
      <c r="P265" s="69"/>
    </row>
    <row r="266" spans="1:16" ht="15">
      <c r="A266" s="69">
        <v>45799</v>
      </c>
      <c r="B266">
        <f t="shared" si="4"/>
        <v>4</v>
      </c>
      <c r="C266">
        <v>1</v>
      </c>
      <c r="G266" s="69"/>
      <c r="P266" s="69"/>
    </row>
    <row r="267" spans="1:16" ht="15">
      <c r="A267" s="69">
        <v>45800</v>
      </c>
      <c r="B267">
        <f t="shared" si="4"/>
        <v>5</v>
      </c>
      <c r="C267">
        <v>1</v>
      </c>
      <c r="G267" s="69"/>
      <c r="P267" s="69"/>
    </row>
    <row r="268" spans="1:16" ht="15">
      <c r="A268" s="69">
        <v>45801</v>
      </c>
      <c r="B268">
        <f t="shared" si="4"/>
        <v>6</v>
      </c>
      <c r="C268">
        <v>1</v>
      </c>
      <c r="G268" s="69"/>
      <c r="P268" s="69"/>
    </row>
    <row r="269" spans="1:16" ht="15">
      <c r="A269" s="69">
        <v>45802</v>
      </c>
      <c r="B269">
        <f t="shared" si="4"/>
        <v>7</v>
      </c>
      <c r="C269">
        <v>1</v>
      </c>
      <c r="G269" s="69"/>
      <c r="P269" s="69"/>
    </row>
    <row r="270" spans="1:16" ht="15">
      <c r="A270" s="69">
        <v>45803</v>
      </c>
      <c r="B270">
        <v>7</v>
      </c>
      <c r="C270">
        <v>1</v>
      </c>
      <c r="G270" s="69"/>
      <c r="P270" s="69"/>
    </row>
    <row r="271" spans="1:16" ht="15">
      <c r="A271" s="69">
        <v>45804</v>
      </c>
      <c r="B271">
        <f t="shared" si="4"/>
        <v>2</v>
      </c>
      <c r="C271">
        <v>1</v>
      </c>
      <c r="G271" s="69"/>
      <c r="P271" s="69"/>
    </row>
    <row r="272" spans="1:16" ht="15">
      <c r="A272" s="69">
        <v>45805</v>
      </c>
      <c r="B272">
        <f t="shared" si="4"/>
        <v>3</v>
      </c>
      <c r="C272">
        <v>1</v>
      </c>
      <c r="G272" s="69"/>
      <c r="P272" s="69"/>
    </row>
    <row r="273" spans="1:16" ht="15">
      <c r="A273" s="69">
        <v>45806</v>
      </c>
      <c r="B273">
        <f t="shared" si="4"/>
        <v>4</v>
      </c>
      <c r="C273">
        <v>1</v>
      </c>
      <c r="G273" s="69"/>
      <c r="P273" s="69"/>
    </row>
    <row r="274" spans="1:16" ht="15">
      <c r="A274" s="69">
        <v>45807</v>
      </c>
      <c r="B274">
        <f t="shared" si="4"/>
        <v>5</v>
      </c>
      <c r="C274">
        <v>1</v>
      </c>
      <c r="G274" s="69"/>
      <c r="P274" s="69"/>
    </row>
    <row r="275" spans="1:16" ht="15">
      <c r="A275" s="69">
        <v>45808</v>
      </c>
      <c r="B275">
        <f t="shared" si="4"/>
        <v>6</v>
      </c>
      <c r="C275">
        <v>1</v>
      </c>
      <c r="G275" s="69"/>
      <c r="P275" s="69"/>
    </row>
    <row r="276" spans="1:16" ht="15">
      <c r="A276" s="69">
        <v>45809</v>
      </c>
      <c r="B276">
        <f t="shared" si="4"/>
        <v>7</v>
      </c>
      <c r="C276">
        <v>1</v>
      </c>
      <c r="G276" s="69"/>
      <c r="P276" s="69"/>
    </row>
    <row r="277" spans="1:16" ht="15">
      <c r="A277" s="69">
        <v>45810</v>
      </c>
      <c r="B277">
        <f t="shared" si="4"/>
        <v>1</v>
      </c>
      <c r="C277">
        <v>1</v>
      </c>
      <c r="G277" s="69"/>
      <c r="P277" s="69"/>
    </row>
    <row r="278" spans="1:16" ht="15">
      <c r="A278" s="69">
        <v>45811</v>
      </c>
      <c r="B278">
        <f t="shared" si="4"/>
        <v>2</v>
      </c>
      <c r="C278">
        <v>1</v>
      </c>
      <c r="G278" s="69"/>
      <c r="P278" s="69"/>
    </row>
    <row r="279" spans="1:16" ht="15">
      <c r="A279" s="69">
        <v>45812</v>
      </c>
      <c r="B279">
        <f t="shared" si="4"/>
        <v>3</v>
      </c>
      <c r="C279">
        <v>1</v>
      </c>
      <c r="G279" s="69"/>
      <c r="P279" s="69"/>
    </row>
    <row r="280" spans="1:16" ht="15">
      <c r="A280" s="69">
        <v>45813</v>
      </c>
      <c r="B280">
        <f t="shared" si="4"/>
        <v>4</v>
      </c>
      <c r="C280">
        <v>1</v>
      </c>
      <c r="G280" s="69"/>
      <c r="P280" s="69"/>
    </row>
    <row r="281" spans="1:16" ht="15">
      <c r="A281" s="69">
        <v>45814</v>
      </c>
      <c r="B281">
        <f t="shared" si="4"/>
        <v>5</v>
      </c>
      <c r="C281">
        <v>1</v>
      </c>
      <c r="G281" s="69"/>
      <c r="P281" s="69"/>
    </row>
    <row r="282" spans="1:16" ht="15">
      <c r="A282" s="69">
        <v>45815</v>
      </c>
      <c r="B282">
        <f t="shared" si="4"/>
        <v>6</v>
      </c>
      <c r="C282">
        <v>1</v>
      </c>
      <c r="G282" s="69"/>
      <c r="P282" s="69"/>
    </row>
    <row r="283" spans="1:16" ht="15">
      <c r="A283" s="69">
        <v>45816</v>
      </c>
      <c r="B283">
        <f t="shared" si="4"/>
        <v>7</v>
      </c>
      <c r="C283">
        <v>1</v>
      </c>
      <c r="G283" s="69"/>
      <c r="P283" s="69"/>
    </row>
    <row r="284" spans="1:16" ht="15">
      <c r="A284" s="69">
        <v>45817</v>
      </c>
      <c r="B284">
        <f t="shared" si="4"/>
        <v>1</v>
      </c>
      <c r="C284">
        <v>1</v>
      </c>
      <c r="G284" s="69"/>
      <c r="P284" s="69"/>
    </row>
    <row r="285" spans="1:16" ht="15">
      <c r="A285" s="69">
        <v>45818</v>
      </c>
      <c r="B285">
        <f t="shared" si="4"/>
        <v>2</v>
      </c>
      <c r="C285">
        <v>1</v>
      </c>
      <c r="G285" s="69"/>
      <c r="P285" s="69"/>
    </row>
    <row r="286" spans="1:16" ht="15">
      <c r="A286" s="69">
        <v>45819</v>
      </c>
      <c r="B286">
        <f t="shared" si="4"/>
        <v>3</v>
      </c>
      <c r="C286">
        <v>1</v>
      </c>
      <c r="G286" s="69"/>
      <c r="P286" s="69"/>
    </row>
    <row r="287" spans="1:16" ht="15">
      <c r="A287" s="69">
        <v>45820</v>
      </c>
      <c r="B287">
        <f t="shared" si="4"/>
        <v>4</v>
      </c>
      <c r="C287">
        <v>1</v>
      </c>
      <c r="G287" s="69"/>
      <c r="P287" s="69"/>
    </row>
    <row r="288" spans="1:16" ht="15">
      <c r="A288" s="69">
        <v>45821</v>
      </c>
      <c r="B288">
        <f t="shared" si="4"/>
        <v>5</v>
      </c>
      <c r="C288">
        <v>1</v>
      </c>
      <c r="G288" s="69"/>
      <c r="P288" s="69"/>
    </row>
    <row r="289" spans="1:16" ht="15">
      <c r="A289" s="69">
        <v>45822</v>
      </c>
      <c r="B289">
        <f t="shared" si="4"/>
        <v>6</v>
      </c>
      <c r="C289">
        <v>1</v>
      </c>
      <c r="G289" s="69"/>
      <c r="P289" s="69"/>
    </row>
    <row r="290" spans="1:16" ht="15">
      <c r="A290" s="69">
        <v>45823</v>
      </c>
      <c r="B290">
        <f t="shared" si="4"/>
        <v>7</v>
      </c>
      <c r="C290">
        <v>1</v>
      </c>
      <c r="G290" s="69"/>
      <c r="P290" s="69"/>
    </row>
    <row r="291" spans="1:16" ht="15">
      <c r="A291" s="69">
        <v>45824</v>
      </c>
      <c r="B291">
        <f t="shared" si="4"/>
        <v>1</v>
      </c>
      <c r="C291">
        <v>1</v>
      </c>
      <c r="G291" s="69"/>
      <c r="P291" s="69"/>
    </row>
    <row r="292" spans="1:16" ht="15">
      <c r="A292" s="69">
        <v>45825</v>
      </c>
      <c r="B292">
        <f t="shared" si="4"/>
        <v>2</v>
      </c>
      <c r="C292">
        <v>1</v>
      </c>
      <c r="G292" s="69"/>
      <c r="P292" s="69"/>
    </row>
    <row r="293" spans="1:16" ht="15">
      <c r="A293" s="69">
        <v>45826</v>
      </c>
      <c r="B293">
        <f t="shared" si="4"/>
        <v>3</v>
      </c>
      <c r="C293">
        <v>1</v>
      </c>
      <c r="G293" s="69"/>
      <c r="P293" s="69"/>
    </row>
    <row r="294" spans="1:16" ht="15">
      <c r="A294" s="69">
        <v>45827</v>
      </c>
      <c r="B294">
        <f t="shared" si="4"/>
        <v>4</v>
      </c>
      <c r="C294">
        <v>1</v>
      </c>
      <c r="G294" s="69"/>
      <c r="P294" s="69"/>
    </row>
    <row r="295" spans="1:16" ht="15">
      <c r="A295" s="69">
        <v>45828</v>
      </c>
      <c r="B295">
        <f t="shared" si="4"/>
        <v>5</v>
      </c>
      <c r="C295">
        <v>1</v>
      </c>
      <c r="G295" s="69"/>
      <c r="P295" s="69"/>
    </row>
    <row r="296" spans="1:16" ht="15">
      <c r="A296" s="69">
        <v>45829</v>
      </c>
      <c r="B296">
        <f t="shared" si="4"/>
        <v>6</v>
      </c>
      <c r="C296">
        <v>1</v>
      </c>
      <c r="G296" s="69"/>
      <c r="P296" s="69"/>
    </row>
    <row r="297" spans="1:16" ht="15">
      <c r="A297" s="69">
        <v>45830</v>
      </c>
      <c r="B297">
        <f t="shared" si="4"/>
        <v>7</v>
      </c>
      <c r="C297">
        <v>1</v>
      </c>
      <c r="G297" s="69"/>
      <c r="P297" s="69"/>
    </row>
    <row r="298" spans="1:16" ht="15">
      <c r="A298" s="69">
        <v>45831</v>
      </c>
      <c r="B298">
        <f t="shared" si="4"/>
        <v>1</v>
      </c>
      <c r="C298">
        <v>1</v>
      </c>
      <c r="G298" s="69"/>
      <c r="P298" s="69"/>
    </row>
    <row r="299" spans="1:16" ht="15">
      <c r="A299" s="69">
        <v>45832</v>
      </c>
      <c r="B299">
        <f t="shared" si="4"/>
        <v>2</v>
      </c>
      <c r="C299">
        <v>1</v>
      </c>
      <c r="G299" s="69"/>
      <c r="P299" s="69"/>
    </row>
    <row r="300" spans="1:16" ht="15">
      <c r="A300" s="69">
        <v>45833</v>
      </c>
      <c r="B300">
        <f t="shared" si="4"/>
        <v>3</v>
      </c>
      <c r="C300">
        <v>1</v>
      </c>
      <c r="G300" s="69"/>
      <c r="P300" s="69"/>
    </row>
    <row r="301" spans="1:16" ht="15">
      <c r="A301" s="69">
        <v>45834</v>
      </c>
      <c r="B301">
        <f t="shared" si="4"/>
        <v>4</v>
      </c>
      <c r="C301">
        <v>1</v>
      </c>
      <c r="G301" s="69"/>
      <c r="P301" s="69"/>
    </row>
    <row r="302" spans="1:16" ht="15">
      <c r="A302" s="69">
        <v>45835</v>
      </c>
      <c r="B302">
        <f t="shared" si="4"/>
        <v>5</v>
      </c>
      <c r="C302">
        <v>1</v>
      </c>
      <c r="G302" s="69"/>
      <c r="P302" s="69"/>
    </row>
    <row r="303" spans="1:16" ht="15">
      <c r="A303" s="69">
        <v>45836</v>
      </c>
      <c r="B303">
        <f t="shared" si="4"/>
        <v>6</v>
      </c>
      <c r="C303">
        <v>1</v>
      </c>
      <c r="G303" s="69"/>
      <c r="P303" s="69"/>
    </row>
    <row r="304" spans="1:16" ht="15">
      <c r="A304" s="69">
        <v>45837</v>
      </c>
      <c r="B304">
        <f t="shared" si="4"/>
        <v>7</v>
      </c>
      <c r="C304">
        <v>1</v>
      </c>
      <c r="G304" s="69"/>
      <c r="P304" s="69"/>
    </row>
    <row r="305" spans="1:16" ht="15">
      <c r="A305" s="69">
        <v>45838</v>
      </c>
      <c r="B305">
        <f t="shared" si="4"/>
        <v>1</v>
      </c>
      <c r="C305">
        <v>1</v>
      </c>
      <c r="G305" s="69"/>
      <c r="P305" s="69"/>
    </row>
    <row r="306" spans="1:16" ht="15">
      <c r="A306" s="69">
        <v>45839</v>
      </c>
      <c r="B306">
        <f t="shared" si="4"/>
        <v>2</v>
      </c>
      <c r="C306">
        <v>1</v>
      </c>
      <c r="G306" s="69"/>
      <c r="P306" s="69"/>
    </row>
    <row r="307" spans="1:16" ht="15">
      <c r="A307" s="69">
        <v>45840</v>
      </c>
      <c r="B307">
        <f t="shared" si="4"/>
        <v>3</v>
      </c>
      <c r="C307">
        <v>1</v>
      </c>
      <c r="G307" s="69"/>
      <c r="P307" s="69"/>
    </row>
    <row r="308" spans="1:16" ht="15">
      <c r="A308" s="69">
        <v>45841</v>
      </c>
      <c r="B308">
        <f aca="true" t="shared" si="5" ref="B308:B371">WEEKDAY(A308,2)</f>
        <v>4</v>
      </c>
      <c r="C308">
        <v>1</v>
      </c>
      <c r="G308" s="69"/>
      <c r="P308" s="69"/>
    </row>
    <row r="309" spans="1:16" ht="15">
      <c r="A309" s="69">
        <v>45842</v>
      </c>
      <c r="B309">
        <v>7</v>
      </c>
      <c r="C309">
        <v>1</v>
      </c>
      <c r="G309" s="69"/>
      <c r="P309" s="69"/>
    </row>
    <row r="310" spans="1:16" ht="15">
      <c r="A310" s="69">
        <v>45843</v>
      </c>
      <c r="B310">
        <f t="shared" si="5"/>
        <v>6</v>
      </c>
      <c r="C310">
        <v>1</v>
      </c>
      <c r="G310" s="69"/>
      <c r="P310" s="69"/>
    </row>
    <row r="311" spans="1:16" ht="15">
      <c r="A311" s="69">
        <v>45844</v>
      </c>
      <c r="B311">
        <f t="shared" si="5"/>
        <v>7</v>
      </c>
      <c r="C311">
        <v>1</v>
      </c>
      <c r="G311" s="69"/>
      <c r="P311" s="69"/>
    </row>
    <row r="312" spans="1:16" ht="15">
      <c r="A312" s="69">
        <v>45845</v>
      </c>
      <c r="B312">
        <f t="shared" si="5"/>
        <v>1</v>
      </c>
      <c r="C312">
        <v>1</v>
      </c>
      <c r="G312" s="69"/>
      <c r="P312" s="69"/>
    </row>
    <row r="313" spans="1:16" ht="15">
      <c r="A313" s="69">
        <v>45846</v>
      </c>
      <c r="B313">
        <f t="shared" si="5"/>
        <v>2</v>
      </c>
      <c r="C313">
        <v>1</v>
      </c>
      <c r="G313" s="69"/>
      <c r="P313" s="69"/>
    </row>
    <row r="314" spans="1:16" ht="15">
      <c r="A314" s="69">
        <v>45847</v>
      </c>
      <c r="B314">
        <f t="shared" si="5"/>
        <v>3</v>
      </c>
      <c r="C314">
        <v>1</v>
      </c>
      <c r="G314" s="69"/>
      <c r="P314" s="69"/>
    </row>
    <row r="315" spans="1:16" ht="15">
      <c r="A315" s="69">
        <v>45848</v>
      </c>
      <c r="B315">
        <f t="shared" si="5"/>
        <v>4</v>
      </c>
      <c r="C315">
        <v>1</v>
      </c>
      <c r="G315" s="69"/>
      <c r="P315" s="69"/>
    </row>
    <row r="316" spans="1:16" ht="15">
      <c r="A316" s="69">
        <v>45849</v>
      </c>
      <c r="B316">
        <f t="shared" si="5"/>
        <v>5</v>
      </c>
      <c r="C316">
        <v>1</v>
      </c>
      <c r="G316" s="69"/>
      <c r="P316" s="69"/>
    </row>
    <row r="317" spans="1:16" ht="15">
      <c r="A317" s="69">
        <v>45850</v>
      </c>
      <c r="B317">
        <f t="shared" si="5"/>
        <v>6</v>
      </c>
      <c r="C317">
        <v>1</v>
      </c>
      <c r="G317" s="69"/>
      <c r="P317" s="69"/>
    </row>
    <row r="318" spans="1:16" ht="15">
      <c r="A318" s="69">
        <v>45851</v>
      </c>
      <c r="B318">
        <f t="shared" si="5"/>
        <v>7</v>
      </c>
      <c r="C318">
        <v>1</v>
      </c>
      <c r="G318" s="69"/>
      <c r="P318" s="69"/>
    </row>
    <row r="319" spans="1:16" ht="15">
      <c r="A319" s="69">
        <v>45852</v>
      </c>
      <c r="B319">
        <f t="shared" si="5"/>
        <v>1</v>
      </c>
      <c r="C319">
        <v>1</v>
      </c>
      <c r="G319" s="69"/>
      <c r="P319" s="69"/>
    </row>
    <row r="320" spans="1:16" ht="15">
      <c r="A320" s="69">
        <v>45853</v>
      </c>
      <c r="B320">
        <f t="shared" si="5"/>
        <v>2</v>
      </c>
      <c r="C320">
        <v>1</v>
      </c>
      <c r="G320" s="69"/>
      <c r="P320" s="69"/>
    </row>
    <row r="321" spans="1:16" ht="15">
      <c r="A321" s="69">
        <v>45854</v>
      </c>
      <c r="B321">
        <f t="shared" si="5"/>
        <v>3</v>
      </c>
      <c r="C321">
        <v>1</v>
      </c>
      <c r="G321" s="69"/>
      <c r="P321" s="69"/>
    </row>
    <row r="322" spans="1:16" ht="15">
      <c r="A322" s="69">
        <v>45855</v>
      </c>
      <c r="B322">
        <f t="shared" si="5"/>
        <v>4</v>
      </c>
      <c r="C322">
        <v>1</v>
      </c>
      <c r="G322" s="69"/>
      <c r="P322" s="69"/>
    </row>
    <row r="323" spans="1:16" ht="15">
      <c r="A323" s="69">
        <v>45856</v>
      </c>
      <c r="B323">
        <f t="shared" si="5"/>
        <v>5</v>
      </c>
      <c r="C323">
        <v>1</v>
      </c>
      <c r="G323" s="69"/>
      <c r="P323" s="69"/>
    </row>
    <row r="324" spans="1:16" ht="15">
      <c r="A324" s="69">
        <v>45857</v>
      </c>
      <c r="B324">
        <f t="shared" si="5"/>
        <v>6</v>
      </c>
      <c r="C324">
        <v>1</v>
      </c>
      <c r="G324" s="69"/>
      <c r="P324" s="69"/>
    </row>
    <row r="325" spans="1:16" ht="15">
      <c r="A325" s="69">
        <v>45858</v>
      </c>
      <c r="B325">
        <f t="shared" si="5"/>
        <v>7</v>
      </c>
      <c r="C325">
        <v>1</v>
      </c>
      <c r="G325" s="69"/>
      <c r="P325" s="69"/>
    </row>
    <row r="326" spans="1:16" ht="15">
      <c r="A326" s="69">
        <v>45859</v>
      </c>
      <c r="B326">
        <f t="shared" si="5"/>
        <v>1</v>
      </c>
      <c r="C326">
        <v>1</v>
      </c>
      <c r="G326" s="69"/>
      <c r="P326" s="69"/>
    </row>
    <row r="327" spans="1:16" ht="15">
      <c r="A327" s="69">
        <v>45860</v>
      </c>
      <c r="B327">
        <f t="shared" si="5"/>
        <v>2</v>
      </c>
      <c r="C327">
        <v>1</v>
      </c>
      <c r="G327" s="69"/>
      <c r="P327" s="69"/>
    </row>
    <row r="328" spans="1:16" ht="15">
      <c r="A328" s="69">
        <v>45861</v>
      </c>
      <c r="B328">
        <f t="shared" si="5"/>
        <v>3</v>
      </c>
      <c r="C328">
        <v>1</v>
      </c>
      <c r="G328" s="69"/>
      <c r="P328" s="69"/>
    </row>
    <row r="329" spans="1:16" ht="15">
      <c r="A329" s="69">
        <v>45862</v>
      </c>
      <c r="B329">
        <f t="shared" si="5"/>
        <v>4</v>
      </c>
      <c r="C329">
        <v>1</v>
      </c>
      <c r="G329" s="69"/>
      <c r="P329" s="69"/>
    </row>
    <row r="330" spans="1:16" ht="15">
      <c r="A330" s="69">
        <v>45863</v>
      </c>
      <c r="B330">
        <f t="shared" si="5"/>
        <v>5</v>
      </c>
      <c r="C330">
        <v>1</v>
      </c>
      <c r="G330" s="69"/>
      <c r="P330" s="69"/>
    </row>
    <row r="331" spans="1:16" ht="15">
      <c r="A331" s="69">
        <v>45864</v>
      </c>
      <c r="B331">
        <f t="shared" si="5"/>
        <v>6</v>
      </c>
      <c r="C331">
        <v>1</v>
      </c>
      <c r="G331" s="69"/>
      <c r="P331" s="69"/>
    </row>
    <row r="332" spans="1:16" ht="15">
      <c r="A332" s="69">
        <v>45865</v>
      </c>
      <c r="B332">
        <f t="shared" si="5"/>
        <v>7</v>
      </c>
      <c r="C332">
        <v>1</v>
      </c>
      <c r="G332" s="69"/>
      <c r="P332" s="69"/>
    </row>
    <row r="333" spans="1:16" ht="15">
      <c r="A333" s="69">
        <v>45866</v>
      </c>
      <c r="B333">
        <f t="shared" si="5"/>
        <v>1</v>
      </c>
      <c r="C333">
        <v>1</v>
      </c>
      <c r="G333" s="69"/>
      <c r="P333" s="69"/>
    </row>
    <row r="334" spans="1:16" ht="15">
      <c r="A334" s="69">
        <v>45867</v>
      </c>
      <c r="B334">
        <f t="shared" si="5"/>
        <v>2</v>
      </c>
      <c r="C334">
        <v>1</v>
      </c>
      <c r="G334" s="69"/>
      <c r="P334" s="69"/>
    </row>
    <row r="335" spans="1:16" ht="15">
      <c r="A335" s="69">
        <v>45868</v>
      </c>
      <c r="B335">
        <f t="shared" si="5"/>
        <v>3</v>
      </c>
      <c r="C335">
        <v>1</v>
      </c>
      <c r="G335" s="69"/>
      <c r="P335" s="69"/>
    </row>
    <row r="336" spans="1:16" ht="15">
      <c r="A336" s="69">
        <v>45869</v>
      </c>
      <c r="B336">
        <f t="shared" si="5"/>
        <v>4</v>
      </c>
      <c r="C336">
        <v>1</v>
      </c>
      <c r="G336" s="69"/>
      <c r="P336" s="69"/>
    </row>
    <row r="337" spans="1:16" ht="15">
      <c r="A337" s="69">
        <v>45870</v>
      </c>
      <c r="B337">
        <f t="shared" si="5"/>
        <v>5</v>
      </c>
      <c r="C337">
        <v>1</v>
      </c>
      <c r="G337" s="69"/>
      <c r="P337" s="69"/>
    </row>
    <row r="338" spans="1:16" ht="15">
      <c r="A338" s="69">
        <v>45871</v>
      </c>
      <c r="B338">
        <f t="shared" si="5"/>
        <v>6</v>
      </c>
      <c r="C338">
        <v>1</v>
      </c>
      <c r="G338" s="69"/>
      <c r="P338" s="69"/>
    </row>
    <row r="339" spans="1:16" ht="15">
      <c r="A339" s="69">
        <v>45872</v>
      </c>
      <c r="B339">
        <f t="shared" si="5"/>
        <v>7</v>
      </c>
      <c r="C339">
        <v>1</v>
      </c>
      <c r="G339" s="69"/>
      <c r="P339" s="69"/>
    </row>
    <row r="340" spans="1:16" ht="15">
      <c r="A340" s="69">
        <v>45873</v>
      </c>
      <c r="B340">
        <f t="shared" si="5"/>
        <v>1</v>
      </c>
      <c r="C340">
        <v>1</v>
      </c>
      <c r="G340" s="69"/>
      <c r="P340" s="69"/>
    </row>
    <row r="341" spans="1:16" ht="15">
      <c r="A341" s="69">
        <v>45874</v>
      </c>
      <c r="B341">
        <f t="shared" si="5"/>
        <v>2</v>
      </c>
      <c r="C341">
        <v>1</v>
      </c>
      <c r="G341" s="69"/>
      <c r="P341" s="69"/>
    </row>
    <row r="342" spans="1:16" ht="15">
      <c r="A342" s="69">
        <v>45875</v>
      </c>
      <c r="B342">
        <f t="shared" si="5"/>
        <v>3</v>
      </c>
      <c r="C342">
        <v>1</v>
      </c>
      <c r="G342" s="69"/>
      <c r="P342" s="69"/>
    </row>
    <row r="343" spans="1:16" ht="15">
      <c r="A343" s="69">
        <v>45876</v>
      </c>
      <c r="B343">
        <f t="shared" si="5"/>
        <v>4</v>
      </c>
      <c r="C343">
        <v>1</v>
      </c>
      <c r="G343" s="69"/>
      <c r="P343" s="69"/>
    </row>
    <row r="344" spans="1:7" ht="15">
      <c r="A344" s="69">
        <v>45877</v>
      </c>
      <c r="B344">
        <f t="shared" si="5"/>
        <v>5</v>
      </c>
      <c r="C344">
        <v>1</v>
      </c>
      <c r="G344" s="69"/>
    </row>
    <row r="345" spans="1:7" ht="15">
      <c r="A345" s="69">
        <v>45878</v>
      </c>
      <c r="B345">
        <f t="shared" si="5"/>
        <v>6</v>
      </c>
      <c r="C345">
        <v>1</v>
      </c>
      <c r="G345" s="69"/>
    </row>
    <row r="346" spans="1:7" ht="15">
      <c r="A346" s="69">
        <v>45879</v>
      </c>
      <c r="B346">
        <f t="shared" si="5"/>
        <v>7</v>
      </c>
      <c r="C346">
        <v>1</v>
      </c>
      <c r="G346" s="69"/>
    </row>
    <row r="347" spans="1:7" ht="15">
      <c r="A347" s="69">
        <v>45880</v>
      </c>
      <c r="B347">
        <f t="shared" si="5"/>
        <v>1</v>
      </c>
      <c r="C347">
        <v>1</v>
      </c>
      <c r="G347" s="69"/>
    </row>
    <row r="348" spans="1:7" ht="15">
      <c r="A348" s="69">
        <v>45881</v>
      </c>
      <c r="B348">
        <f t="shared" si="5"/>
        <v>2</v>
      </c>
      <c r="C348">
        <v>1</v>
      </c>
      <c r="G348" s="69"/>
    </row>
    <row r="349" spans="1:7" ht="15">
      <c r="A349" s="69">
        <v>45882</v>
      </c>
      <c r="B349">
        <f t="shared" si="5"/>
        <v>3</v>
      </c>
      <c r="C349">
        <v>1</v>
      </c>
      <c r="G349" s="69"/>
    </row>
    <row r="350" spans="1:7" ht="15">
      <c r="A350" s="69">
        <v>45883</v>
      </c>
      <c r="B350">
        <f t="shared" si="5"/>
        <v>4</v>
      </c>
      <c r="C350">
        <v>1</v>
      </c>
      <c r="G350" s="69"/>
    </row>
    <row r="351" spans="1:7" ht="15">
      <c r="A351" s="69">
        <v>45884</v>
      </c>
      <c r="B351">
        <f t="shared" si="5"/>
        <v>5</v>
      </c>
      <c r="C351">
        <v>1</v>
      </c>
      <c r="G351" s="69"/>
    </row>
    <row r="352" spans="1:7" ht="15">
      <c r="A352" s="69">
        <v>45885</v>
      </c>
      <c r="B352">
        <f t="shared" si="5"/>
        <v>6</v>
      </c>
      <c r="C352">
        <v>1</v>
      </c>
      <c r="G352" s="69"/>
    </row>
    <row r="353" spans="1:7" ht="15">
      <c r="A353" s="69">
        <v>45886</v>
      </c>
      <c r="B353">
        <f t="shared" si="5"/>
        <v>7</v>
      </c>
      <c r="C353">
        <v>1</v>
      </c>
      <c r="G353" s="69"/>
    </row>
    <row r="354" spans="1:7" ht="15">
      <c r="A354" s="69">
        <v>45887</v>
      </c>
      <c r="B354">
        <f t="shared" si="5"/>
        <v>1</v>
      </c>
      <c r="C354">
        <v>1</v>
      </c>
      <c r="G354" s="69"/>
    </row>
    <row r="355" spans="1:7" ht="15">
      <c r="A355" s="69">
        <v>45888</v>
      </c>
      <c r="B355">
        <f t="shared" si="5"/>
        <v>2</v>
      </c>
      <c r="C355">
        <v>1</v>
      </c>
      <c r="G355" s="69"/>
    </row>
    <row r="356" spans="1:7" ht="15">
      <c r="A356" s="69">
        <v>45889</v>
      </c>
      <c r="B356">
        <f t="shared" si="5"/>
        <v>3</v>
      </c>
      <c r="C356">
        <v>1</v>
      </c>
      <c r="G356" s="69"/>
    </row>
    <row r="357" spans="1:7" ht="15">
      <c r="A357" s="69">
        <v>45890</v>
      </c>
      <c r="B357">
        <f t="shared" si="5"/>
        <v>4</v>
      </c>
      <c r="C357">
        <v>1</v>
      </c>
      <c r="G357" s="69"/>
    </row>
    <row r="358" spans="1:7" ht="15">
      <c r="A358" s="69">
        <v>45891</v>
      </c>
      <c r="B358">
        <f t="shared" si="5"/>
        <v>5</v>
      </c>
      <c r="C358">
        <v>1</v>
      </c>
      <c r="G358" s="69"/>
    </row>
    <row r="359" spans="1:7" ht="15">
      <c r="A359" s="69">
        <v>45892</v>
      </c>
      <c r="B359">
        <f t="shared" si="5"/>
        <v>6</v>
      </c>
      <c r="C359">
        <v>1</v>
      </c>
      <c r="G359" s="69"/>
    </row>
    <row r="360" spans="1:7" ht="15">
      <c r="A360" s="69">
        <v>45893</v>
      </c>
      <c r="B360">
        <f t="shared" si="5"/>
        <v>7</v>
      </c>
      <c r="C360">
        <v>1</v>
      </c>
      <c r="G360" s="69"/>
    </row>
    <row r="361" spans="1:7" ht="15">
      <c r="A361" s="69">
        <v>45894</v>
      </c>
      <c r="B361">
        <f t="shared" si="5"/>
        <v>1</v>
      </c>
      <c r="C361">
        <v>1</v>
      </c>
      <c r="G361" s="69"/>
    </row>
    <row r="362" spans="1:7" ht="15">
      <c r="A362" s="69">
        <v>45895</v>
      </c>
      <c r="B362">
        <f t="shared" si="5"/>
        <v>2</v>
      </c>
      <c r="C362">
        <v>1</v>
      </c>
      <c r="G362" s="69"/>
    </row>
    <row r="363" spans="1:7" ht="15">
      <c r="A363" s="69">
        <v>45896</v>
      </c>
      <c r="B363">
        <f t="shared" si="5"/>
        <v>3</v>
      </c>
      <c r="C363">
        <v>1</v>
      </c>
      <c r="G363" s="69"/>
    </row>
    <row r="364" spans="1:7" ht="15">
      <c r="A364" s="69">
        <v>45897</v>
      </c>
      <c r="B364">
        <f t="shared" si="5"/>
        <v>4</v>
      </c>
      <c r="C364">
        <v>1</v>
      </c>
      <c r="G364" s="69"/>
    </row>
    <row r="365" spans="1:7" ht="15">
      <c r="A365" s="69">
        <v>45898</v>
      </c>
      <c r="B365">
        <f t="shared" si="5"/>
        <v>5</v>
      </c>
      <c r="C365">
        <v>1</v>
      </c>
      <c r="G365" s="69"/>
    </row>
    <row r="366" spans="1:7" ht="15">
      <c r="A366" s="69">
        <v>45899</v>
      </c>
      <c r="B366">
        <f t="shared" si="5"/>
        <v>6</v>
      </c>
      <c r="C366">
        <v>1</v>
      </c>
      <c r="G366" s="69"/>
    </row>
    <row r="367" spans="1:7" ht="15">
      <c r="A367" s="69">
        <v>45900</v>
      </c>
      <c r="B367">
        <f t="shared" si="5"/>
        <v>7</v>
      </c>
      <c r="C367">
        <v>1</v>
      </c>
      <c r="G367" s="69"/>
    </row>
    <row r="368" spans="1:7" ht="15">
      <c r="A368" s="69">
        <v>45901</v>
      </c>
      <c r="B368">
        <v>7</v>
      </c>
      <c r="C368">
        <v>1</v>
      </c>
      <c r="G368" s="69"/>
    </row>
    <row r="369" spans="1:7" ht="15">
      <c r="A369" s="69">
        <v>45902</v>
      </c>
      <c r="B369">
        <f t="shared" si="5"/>
        <v>2</v>
      </c>
      <c r="C369">
        <v>1</v>
      </c>
      <c r="G369" s="69"/>
    </row>
    <row r="370" spans="1:7" ht="15">
      <c r="A370" s="69">
        <v>45903</v>
      </c>
      <c r="B370">
        <f t="shared" si="5"/>
        <v>3</v>
      </c>
      <c r="C370">
        <v>1</v>
      </c>
      <c r="G370" s="69"/>
    </row>
    <row r="371" spans="1:7" ht="15">
      <c r="A371" s="69">
        <v>45904</v>
      </c>
      <c r="B371">
        <f t="shared" si="5"/>
        <v>4</v>
      </c>
      <c r="C371">
        <v>1</v>
      </c>
      <c r="G371" s="69"/>
    </row>
    <row r="372" spans="1:7" ht="15">
      <c r="A372" s="69">
        <v>45905</v>
      </c>
      <c r="B372">
        <f aca="true" t="shared" si="6" ref="B372:B435">WEEKDAY(A372,2)</f>
        <v>5</v>
      </c>
      <c r="C372">
        <v>1</v>
      </c>
      <c r="G372" s="69"/>
    </row>
    <row r="373" spans="1:7" ht="15">
      <c r="A373" s="69">
        <v>45906</v>
      </c>
      <c r="B373">
        <f t="shared" si="6"/>
        <v>6</v>
      </c>
      <c r="C373">
        <v>2</v>
      </c>
      <c r="G373" s="69"/>
    </row>
    <row r="374" spans="1:7" ht="15">
      <c r="A374" s="69">
        <v>45907</v>
      </c>
      <c r="B374">
        <f t="shared" si="6"/>
        <v>7</v>
      </c>
      <c r="C374">
        <v>2</v>
      </c>
      <c r="G374" s="69"/>
    </row>
    <row r="375" spans="1:7" ht="15">
      <c r="A375" s="69">
        <v>45908</v>
      </c>
      <c r="B375">
        <f t="shared" si="6"/>
        <v>1</v>
      </c>
      <c r="C375">
        <v>2</v>
      </c>
      <c r="G375" s="69"/>
    </row>
    <row r="376" spans="1:7" ht="15">
      <c r="A376" s="69">
        <v>45909</v>
      </c>
      <c r="B376">
        <f t="shared" si="6"/>
        <v>2</v>
      </c>
      <c r="C376">
        <v>2</v>
      </c>
      <c r="G376" s="69"/>
    </row>
    <row r="377" spans="1:7" ht="15">
      <c r="A377" s="69">
        <v>45910</v>
      </c>
      <c r="B377">
        <f t="shared" si="6"/>
        <v>3</v>
      </c>
      <c r="C377">
        <v>2</v>
      </c>
      <c r="G377" s="69"/>
    </row>
    <row r="378" spans="1:7" ht="15">
      <c r="A378" s="69">
        <v>45911</v>
      </c>
      <c r="B378">
        <f t="shared" si="6"/>
        <v>4</v>
      </c>
      <c r="C378">
        <v>2</v>
      </c>
      <c r="G378" s="69"/>
    </row>
    <row r="379" spans="1:7" ht="15">
      <c r="A379" s="69">
        <v>45912</v>
      </c>
      <c r="B379">
        <f t="shared" si="6"/>
        <v>5</v>
      </c>
      <c r="C379">
        <v>2</v>
      </c>
      <c r="G379" s="69"/>
    </row>
    <row r="380" spans="1:7" ht="15">
      <c r="A380" s="69">
        <v>45913</v>
      </c>
      <c r="B380">
        <f t="shared" si="6"/>
        <v>6</v>
      </c>
      <c r="C380">
        <v>2</v>
      </c>
      <c r="G380" s="69"/>
    </row>
    <row r="381" spans="1:7" ht="15">
      <c r="A381" s="69">
        <v>45914</v>
      </c>
      <c r="B381">
        <f t="shared" si="6"/>
        <v>7</v>
      </c>
      <c r="C381">
        <v>2</v>
      </c>
      <c r="G381" s="69"/>
    </row>
    <row r="382" spans="1:7" ht="15">
      <c r="A382" s="69">
        <v>45915</v>
      </c>
      <c r="B382">
        <f t="shared" si="6"/>
        <v>1</v>
      </c>
      <c r="C382">
        <v>2</v>
      </c>
      <c r="G382" s="69"/>
    </row>
    <row r="383" spans="1:3" ht="15">
      <c r="A383" s="69">
        <v>45916</v>
      </c>
      <c r="B383">
        <f t="shared" si="6"/>
        <v>2</v>
      </c>
      <c r="C383">
        <v>2</v>
      </c>
    </row>
    <row r="384" spans="1:3" ht="15">
      <c r="A384" s="69">
        <v>45917</v>
      </c>
      <c r="B384">
        <f t="shared" si="6"/>
        <v>3</v>
      </c>
      <c r="C384">
        <v>2</v>
      </c>
    </row>
    <row r="385" spans="1:3" ht="15">
      <c r="A385" s="69">
        <v>45918</v>
      </c>
      <c r="B385">
        <f t="shared" si="6"/>
        <v>4</v>
      </c>
      <c r="C385">
        <v>2</v>
      </c>
    </row>
    <row r="386" spans="1:3" ht="15">
      <c r="A386" s="69">
        <v>45919</v>
      </c>
      <c r="B386">
        <f t="shared" si="6"/>
        <v>5</v>
      </c>
      <c r="C386">
        <v>2</v>
      </c>
    </row>
    <row r="387" spans="1:3" ht="15">
      <c r="A387" s="69">
        <v>45920</v>
      </c>
      <c r="B387">
        <f t="shared" si="6"/>
        <v>6</v>
      </c>
      <c r="C387">
        <v>2</v>
      </c>
    </row>
    <row r="388" spans="1:3" ht="15">
      <c r="A388" s="69">
        <v>45921</v>
      </c>
      <c r="B388">
        <f t="shared" si="6"/>
        <v>7</v>
      </c>
      <c r="C388">
        <v>2</v>
      </c>
    </row>
    <row r="389" spans="1:3" ht="15">
      <c r="A389" s="69">
        <v>45922</v>
      </c>
      <c r="B389">
        <f t="shared" si="6"/>
        <v>1</v>
      </c>
      <c r="C389">
        <v>2</v>
      </c>
    </row>
    <row r="390" spans="1:3" ht="15">
      <c r="A390" s="69">
        <v>45923</v>
      </c>
      <c r="B390">
        <f t="shared" si="6"/>
        <v>2</v>
      </c>
      <c r="C390">
        <v>2</v>
      </c>
    </row>
    <row r="391" spans="1:3" ht="15">
      <c r="A391" s="69">
        <v>45924</v>
      </c>
      <c r="B391">
        <f t="shared" si="6"/>
        <v>3</v>
      </c>
      <c r="C391">
        <v>2</v>
      </c>
    </row>
    <row r="392" spans="1:3" ht="15">
      <c r="A392" s="69">
        <v>45925</v>
      </c>
      <c r="B392">
        <f t="shared" si="6"/>
        <v>4</v>
      </c>
      <c r="C392">
        <v>2</v>
      </c>
    </row>
    <row r="393" spans="1:3" ht="15">
      <c r="A393" s="69">
        <v>45926</v>
      </c>
      <c r="B393">
        <f t="shared" si="6"/>
        <v>5</v>
      </c>
      <c r="C393">
        <v>2</v>
      </c>
    </row>
    <row r="394" spans="1:3" ht="15">
      <c r="A394" s="69">
        <v>45927</v>
      </c>
      <c r="B394">
        <f t="shared" si="6"/>
        <v>6</v>
      </c>
      <c r="C394">
        <v>2</v>
      </c>
    </row>
    <row r="395" spans="1:3" ht="15">
      <c r="A395" s="69">
        <v>45928</v>
      </c>
      <c r="B395">
        <f t="shared" si="6"/>
        <v>7</v>
      </c>
      <c r="C395">
        <v>2</v>
      </c>
    </row>
    <row r="396" spans="1:3" ht="15">
      <c r="A396" s="69">
        <v>45929</v>
      </c>
      <c r="B396">
        <f t="shared" si="6"/>
        <v>1</v>
      </c>
      <c r="C396">
        <v>2</v>
      </c>
    </row>
    <row r="397" spans="1:3" ht="15">
      <c r="A397" s="69">
        <v>45930</v>
      </c>
      <c r="B397">
        <f t="shared" si="6"/>
        <v>2</v>
      </c>
      <c r="C397">
        <v>2</v>
      </c>
    </row>
    <row r="398" spans="1:3" ht="15">
      <c r="A398" s="69">
        <v>45931</v>
      </c>
      <c r="B398">
        <f t="shared" si="6"/>
        <v>3</v>
      </c>
      <c r="C398">
        <v>2</v>
      </c>
    </row>
    <row r="399" spans="1:3" ht="15">
      <c r="A399" s="69">
        <v>45932</v>
      </c>
      <c r="B399">
        <f t="shared" si="6"/>
        <v>4</v>
      </c>
      <c r="C399">
        <v>2</v>
      </c>
    </row>
    <row r="400" spans="1:3" ht="15">
      <c r="A400" s="69">
        <v>45933</v>
      </c>
      <c r="B400">
        <f t="shared" si="6"/>
        <v>5</v>
      </c>
      <c r="C400">
        <v>2</v>
      </c>
    </row>
    <row r="401" spans="1:3" ht="15">
      <c r="A401" s="69">
        <v>45934</v>
      </c>
      <c r="B401">
        <f t="shared" si="6"/>
        <v>6</v>
      </c>
      <c r="C401">
        <v>2</v>
      </c>
    </row>
    <row r="402" spans="1:3" ht="15">
      <c r="A402" s="69">
        <v>45935</v>
      </c>
      <c r="B402">
        <f t="shared" si="6"/>
        <v>7</v>
      </c>
      <c r="C402">
        <v>2</v>
      </c>
    </row>
    <row r="403" spans="1:3" ht="15">
      <c r="A403" s="69">
        <v>45936</v>
      </c>
      <c r="B403">
        <f t="shared" si="6"/>
        <v>1</v>
      </c>
      <c r="C403">
        <v>2</v>
      </c>
    </row>
    <row r="404" spans="1:3" ht="15">
      <c r="A404" s="69">
        <v>45937</v>
      </c>
      <c r="B404">
        <f t="shared" si="6"/>
        <v>2</v>
      </c>
      <c r="C404">
        <v>2</v>
      </c>
    </row>
    <row r="405" spans="1:3" ht="15">
      <c r="A405" s="69">
        <v>45938</v>
      </c>
      <c r="B405">
        <f t="shared" si="6"/>
        <v>3</v>
      </c>
      <c r="C405">
        <v>2</v>
      </c>
    </row>
    <row r="406" spans="1:3" ht="15">
      <c r="A406" s="69">
        <v>45939</v>
      </c>
      <c r="B406">
        <f t="shared" si="6"/>
        <v>4</v>
      </c>
      <c r="C406">
        <v>2</v>
      </c>
    </row>
    <row r="407" spans="1:3" ht="15">
      <c r="A407" s="69">
        <v>45940</v>
      </c>
      <c r="B407">
        <f t="shared" si="6"/>
        <v>5</v>
      </c>
      <c r="C407">
        <v>2</v>
      </c>
    </row>
    <row r="408" spans="1:3" ht="15">
      <c r="A408" s="69">
        <v>45941</v>
      </c>
      <c r="B408">
        <f t="shared" si="6"/>
        <v>6</v>
      </c>
      <c r="C408">
        <v>2</v>
      </c>
    </row>
    <row r="409" spans="1:3" ht="15">
      <c r="A409" s="69">
        <v>45942</v>
      </c>
      <c r="B409">
        <f t="shared" si="6"/>
        <v>7</v>
      </c>
      <c r="C409">
        <v>2</v>
      </c>
    </row>
    <row r="410" spans="1:3" ht="15">
      <c r="A410" s="69">
        <v>45943</v>
      </c>
      <c r="B410">
        <f t="shared" si="6"/>
        <v>1</v>
      </c>
      <c r="C410">
        <v>2</v>
      </c>
    </row>
    <row r="411" spans="1:3" ht="15">
      <c r="A411" s="69">
        <v>45944</v>
      </c>
      <c r="B411">
        <f t="shared" si="6"/>
        <v>2</v>
      </c>
      <c r="C411">
        <v>2</v>
      </c>
    </row>
    <row r="412" spans="1:3" ht="15">
      <c r="A412" s="69">
        <v>45945</v>
      </c>
      <c r="B412">
        <f t="shared" si="6"/>
        <v>3</v>
      </c>
      <c r="C412">
        <v>2</v>
      </c>
    </row>
    <row r="413" spans="1:3" ht="15">
      <c r="A413" s="69">
        <v>45946</v>
      </c>
      <c r="B413">
        <f t="shared" si="6"/>
        <v>4</v>
      </c>
      <c r="C413">
        <v>2</v>
      </c>
    </row>
    <row r="414" spans="1:3" ht="15">
      <c r="A414" s="69">
        <v>45947</v>
      </c>
      <c r="B414">
        <f t="shared" si="6"/>
        <v>5</v>
      </c>
      <c r="C414">
        <v>2</v>
      </c>
    </row>
    <row r="415" spans="1:3" ht="15">
      <c r="A415" s="69">
        <v>45948</v>
      </c>
      <c r="B415">
        <f t="shared" si="6"/>
        <v>6</v>
      </c>
      <c r="C415">
        <v>2</v>
      </c>
    </row>
    <row r="416" spans="1:3" ht="15">
      <c r="A416" s="69">
        <v>45949</v>
      </c>
      <c r="B416">
        <f t="shared" si="6"/>
        <v>7</v>
      </c>
      <c r="C416">
        <v>2</v>
      </c>
    </row>
    <row r="417" spans="1:3" ht="15">
      <c r="A417" s="69">
        <v>45950</v>
      </c>
      <c r="B417">
        <f t="shared" si="6"/>
        <v>1</v>
      </c>
      <c r="C417">
        <v>2</v>
      </c>
    </row>
    <row r="418" spans="1:3" ht="15">
      <c r="A418" s="69">
        <v>45951</v>
      </c>
      <c r="B418">
        <f t="shared" si="6"/>
        <v>2</v>
      </c>
      <c r="C418">
        <v>2</v>
      </c>
    </row>
    <row r="419" spans="1:3" ht="15">
      <c r="A419" s="69">
        <v>45952</v>
      </c>
      <c r="B419">
        <f t="shared" si="6"/>
        <v>3</v>
      </c>
      <c r="C419">
        <v>2</v>
      </c>
    </row>
    <row r="420" spans="1:3" ht="15">
      <c r="A420" s="69">
        <v>45953</v>
      </c>
      <c r="B420">
        <f t="shared" si="6"/>
        <v>4</v>
      </c>
      <c r="C420">
        <v>2</v>
      </c>
    </row>
    <row r="421" spans="1:3" ht="15">
      <c r="A421" s="69">
        <v>45954</v>
      </c>
      <c r="B421">
        <f t="shared" si="6"/>
        <v>5</v>
      </c>
      <c r="C421">
        <v>2</v>
      </c>
    </row>
    <row r="422" spans="1:3" ht="15">
      <c r="A422" s="69">
        <v>45955</v>
      </c>
      <c r="B422">
        <f t="shared" si="6"/>
        <v>6</v>
      </c>
      <c r="C422">
        <v>2</v>
      </c>
    </row>
    <row r="423" spans="1:3" ht="15">
      <c r="A423" s="69">
        <v>45956</v>
      </c>
      <c r="B423">
        <f t="shared" si="6"/>
        <v>7</v>
      </c>
      <c r="C423">
        <v>2</v>
      </c>
    </row>
    <row r="424" spans="1:3" ht="15">
      <c r="A424" s="69">
        <v>45957</v>
      </c>
      <c r="B424">
        <f t="shared" si="6"/>
        <v>1</v>
      </c>
      <c r="C424">
        <v>2</v>
      </c>
    </row>
    <row r="425" spans="1:3" ht="15">
      <c r="A425" s="69">
        <v>45958</v>
      </c>
      <c r="B425">
        <f t="shared" si="6"/>
        <v>2</v>
      </c>
      <c r="C425">
        <v>2</v>
      </c>
    </row>
    <row r="426" spans="1:3" ht="15">
      <c r="A426" s="69">
        <v>45959</v>
      </c>
      <c r="B426">
        <f t="shared" si="6"/>
        <v>3</v>
      </c>
      <c r="C426">
        <v>2</v>
      </c>
    </row>
    <row r="427" spans="1:3" ht="15">
      <c r="A427" s="69">
        <v>45960</v>
      </c>
      <c r="B427">
        <f t="shared" si="6"/>
        <v>4</v>
      </c>
      <c r="C427">
        <v>2</v>
      </c>
    </row>
    <row r="428" spans="1:3" ht="15">
      <c r="A428" s="69">
        <v>45961</v>
      </c>
      <c r="B428">
        <f t="shared" si="6"/>
        <v>5</v>
      </c>
      <c r="C428">
        <v>2</v>
      </c>
    </row>
    <row r="429" spans="1:3" ht="15">
      <c r="A429" s="69">
        <v>45962</v>
      </c>
      <c r="B429">
        <f t="shared" si="6"/>
        <v>6</v>
      </c>
      <c r="C429">
        <v>2</v>
      </c>
    </row>
    <row r="430" spans="1:3" ht="15">
      <c r="A430" s="69">
        <v>45963</v>
      </c>
      <c r="B430">
        <f t="shared" si="6"/>
        <v>7</v>
      </c>
      <c r="C430">
        <v>2</v>
      </c>
    </row>
    <row r="431" spans="1:3" ht="15">
      <c r="A431" s="69">
        <v>45964</v>
      </c>
      <c r="B431">
        <f t="shared" si="6"/>
        <v>1</v>
      </c>
      <c r="C431">
        <v>2</v>
      </c>
    </row>
    <row r="432" spans="1:3" ht="15">
      <c r="A432" s="69">
        <v>45965</v>
      </c>
      <c r="B432">
        <f t="shared" si="6"/>
        <v>2</v>
      </c>
      <c r="C432">
        <v>2</v>
      </c>
    </row>
    <row r="433" spans="1:3" ht="15">
      <c r="A433" s="69">
        <v>45966</v>
      </c>
      <c r="B433">
        <f t="shared" si="6"/>
        <v>3</v>
      </c>
      <c r="C433">
        <v>2</v>
      </c>
    </row>
    <row r="434" spans="1:3" ht="15">
      <c r="A434" s="69">
        <v>45967</v>
      </c>
      <c r="B434">
        <f t="shared" si="6"/>
        <v>4</v>
      </c>
      <c r="C434">
        <v>2</v>
      </c>
    </row>
    <row r="435" spans="1:3" ht="15">
      <c r="A435" s="69">
        <v>45968</v>
      </c>
      <c r="B435">
        <f t="shared" si="6"/>
        <v>5</v>
      </c>
      <c r="C435">
        <v>2</v>
      </c>
    </row>
    <row r="436" spans="1:3" ht="15">
      <c r="A436" s="69">
        <v>45969</v>
      </c>
      <c r="B436">
        <f aca="true" t="shared" si="7" ref="B436:B499">WEEKDAY(A436,2)</f>
        <v>6</v>
      </c>
      <c r="C436">
        <v>2</v>
      </c>
    </row>
    <row r="437" spans="1:3" ht="15">
      <c r="A437" s="69">
        <v>45970</v>
      </c>
      <c r="B437">
        <f t="shared" si="7"/>
        <v>7</v>
      </c>
      <c r="C437">
        <v>2</v>
      </c>
    </row>
    <row r="438" spans="1:3" ht="15">
      <c r="A438" s="69">
        <v>45971</v>
      </c>
      <c r="B438">
        <f t="shared" si="7"/>
        <v>1</v>
      </c>
      <c r="C438">
        <v>2</v>
      </c>
    </row>
    <row r="439" spans="1:3" ht="15">
      <c r="A439" s="69">
        <v>45972</v>
      </c>
      <c r="B439">
        <f t="shared" si="7"/>
        <v>2</v>
      </c>
      <c r="C439">
        <v>2</v>
      </c>
    </row>
    <row r="440" spans="1:3" ht="15">
      <c r="A440" s="69">
        <v>45973</v>
      </c>
      <c r="B440">
        <f t="shared" si="7"/>
        <v>3</v>
      </c>
      <c r="C440">
        <v>2</v>
      </c>
    </row>
    <row r="441" spans="1:3" ht="15">
      <c r="A441" s="69">
        <v>45974</v>
      </c>
      <c r="B441">
        <f t="shared" si="7"/>
        <v>4</v>
      </c>
      <c r="C441">
        <v>2</v>
      </c>
    </row>
    <row r="442" spans="1:3" ht="15">
      <c r="A442" s="69">
        <v>45975</v>
      </c>
      <c r="B442">
        <f t="shared" si="7"/>
        <v>5</v>
      </c>
      <c r="C442">
        <v>2</v>
      </c>
    </row>
    <row r="443" spans="1:3" ht="15">
      <c r="A443" s="69">
        <v>45976</v>
      </c>
      <c r="B443">
        <f t="shared" si="7"/>
        <v>6</v>
      </c>
      <c r="C443">
        <v>2</v>
      </c>
    </row>
    <row r="444" spans="1:3" ht="15">
      <c r="A444" s="69">
        <v>45977</v>
      </c>
      <c r="B444">
        <f t="shared" si="7"/>
        <v>7</v>
      </c>
      <c r="C444">
        <v>2</v>
      </c>
    </row>
    <row r="445" spans="1:3" ht="15">
      <c r="A445" s="69">
        <v>45978</v>
      </c>
      <c r="B445">
        <f t="shared" si="7"/>
        <v>1</v>
      </c>
      <c r="C445">
        <v>2</v>
      </c>
    </row>
    <row r="446" spans="1:3" ht="15">
      <c r="A446" s="69">
        <v>45979</v>
      </c>
      <c r="B446">
        <f t="shared" si="7"/>
        <v>2</v>
      </c>
      <c r="C446">
        <v>2</v>
      </c>
    </row>
    <row r="447" spans="1:3" ht="15">
      <c r="A447" s="69">
        <v>45980</v>
      </c>
      <c r="B447">
        <f t="shared" si="7"/>
        <v>3</v>
      </c>
      <c r="C447">
        <v>2</v>
      </c>
    </row>
    <row r="448" spans="1:3" ht="15">
      <c r="A448" s="69">
        <v>45981</v>
      </c>
      <c r="B448">
        <f t="shared" si="7"/>
        <v>4</v>
      </c>
      <c r="C448">
        <v>2</v>
      </c>
    </row>
    <row r="449" spans="1:3" ht="15">
      <c r="A449" s="69">
        <v>45982</v>
      </c>
      <c r="B449">
        <f t="shared" si="7"/>
        <v>5</v>
      </c>
      <c r="C449">
        <v>2</v>
      </c>
    </row>
    <row r="450" spans="1:3" ht="15">
      <c r="A450" s="69">
        <v>45983</v>
      </c>
      <c r="B450">
        <f t="shared" si="7"/>
        <v>6</v>
      </c>
      <c r="C450">
        <v>2</v>
      </c>
    </row>
    <row r="451" spans="1:3" ht="15">
      <c r="A451" s="69">
        <v>45984</v>
      </c>
      <c r="B451">
        <f t="shared" si="7"/>
        <v>7</v>
      </c>
      <c r="C451">
        <v>2</v>
      </c>
    </row>
    <row r="452" spans="1:3" ht="15">
      <c r="A452" s="69">
        <v>45985</v>
      </c>
      <c r="B452">
        <f t="shared" si="7"/>
        <v>1</v>
      </c>
      <c r="C452">
        <v>2</v>
      </c>
    </row>
    <row r="453" spans="1:3" ht="15">
      <c r="A453" s="69">
        <v>45986</v>
      </c>
      <c r="B453">
        <f t="shared" si="7"/>
        <v>2</v>
      </c>
      <c r="C453">
        <v>2</v>
      </c>
    </row>
    <row r="454" spans="1:3" ht="15">
      <c r="A454" s="69">
        <v>45987</v>
      </c>
      <c r="B454">
        <f t="shared" si="7"/>
        <v>3</v>
      </c>
      <c r="C454">
        <v>2</v>
      </c>
    </row>
    <row r="455" spans="1:3" ht="15">
      <c r="A455" s="69">
        <v>45988</v>
      </c>
      <c r="B455">
        <v>7</v>
      </c>
      <c r="C455">
        <v>2</v>
      </c>
    </row>
    <row r="456" spans="1:3" ht="15">
      <c r="A456" s="69">
        <v>45989</v>
      </c>
      <c r="B456">
        <f t="shared" si="7"/>
        <v>5</v>
      </c>
      <c r="C456">
        <v>2</v>
      </c>
    </row>
    <row r="457" spans="1:3" ht="15">
      <c r="A457" s="69">
        <v>45990</v>
      </c>
      <c r="B457">
        <f t="shared" si="7"/>
        <v>6</v>
      </c>
      <c r="C457">
        <v>2</v>
      </c>
    </row>
    <row r="458" spans="1:3" ht="15">
      <c r="A458" s="69">
        <v>45991</v>
      </c>
      <c r="B458">
        <f t="shared" si="7"/>
        <v>7</v>
      </c>
      <c r="C458">
        <v>2</v>
      </c>
    </row>
    <row r="459" spans="1:3" ht="15">
      <c r="A459" s="69">
        <v>45992</v>
      </c>
      <c r="B459">
        <f t="shared" si="7"/>
        <v>1</v>
      </c>
      <c r="C459">
        <v>2</v>
      </c>
    </row>
    <row r="460" spans="1:3" ht="15">
      <c r="A460" s="69">
        <v>45993</v>
      </c>
      <c r="B460">
        <f t="shared" si="7"/>
        <v>2</v>
      </c>
      <c r="C460">
        <v>2</v>
      </c>
    </row>
    <row r="461" spans="1:3" ht="15">
      <c r="A461" s="69">
        <v>45994</v>
      </c>
      <c r="B461">
        <f t="shared" si="7"/>
        <v>3</v>
      </c>
      <c r="C461">
        <v>2</v>
      </c>
    </row>
    <row r="462" spans="1:3" ht="15">
      <c r="A462" s="69">
        <v>45995</v>
      </c>
      <c r="B462">
        <f t="shared" si="7"/>
        <v>4</v>
      </c>
      <c r="C462">
        <v>2</v>
      </c>
    </row>
    <row r="463" spans="1:3" ht="15">
      <c r="A463" s="69">
        <v>45996</v>
      </c>
      <c r="B463">
        <f t="shared" si="7"/>
        <v>5</v>
      </c>
      <c r="C463">
        <v>2</v>
      </c>
    </row>
    <row r="464" spans="1:3" ht="15">
      <c r="A464" s="69">
        <v>45997</v>
      </c>
      <c r="B464">
        <f t="shared" si="7"/>
        <v>6</v>
      </c>
      <c r="C464">
        <v>2</v>
      </c>
    </row>
    <row r="465" spans="1:3" ht="15">
      <c r="A465" s="69">
        <v>45998</v>
      </c>
      <c r="B465">
        <f t="shared" si="7"/>
        <v>7</v>
      </c>
      <c r="C465">
        <v>2</v>
      </c>
    </row>
    <row r="466" spans="1:3" ht="15">
      <c r="A466" s="69">
        <v>45999</v>
      </c>
      <c r="B466">
        <f t="shared" si="7"/>
        <v>1</v>
      </c>
      <c r="C466">
        <v>2</v>
      </c>
    </row>
    <row r="467" spans="1:3" ht="15">
      <c r="A467" s="69">
        <v>46000</v>
      </c>
      <c r="B467">
        <f t="shared" si="7"/>
        <v>2</v>
      </c>
      <c r="C467">
        <v>2</v>
      </c>
    </row>
    <row r="468" spans="1:3" ht="15">
      <c r="A468" s="69">
        <v>46001</v>
      </c>
      <c r="B468">
        <f t="shared" si="7"/>
        <v>3</v>
      </c>
      <c r="C468">
        <v>2</v>
      </c>
    </row>
    <row r="469" spans="1:3" ht="15">
      <c r="A469" s="69">
        <v>46002</v>
      </c>
      <c r="B469">
        <f t="shared" si="7"/>
        <v>4</v>
      </c>
      <c r="C469">
        <v>2</v>
      </c>
    </row>
    <row r="470" spans="1:3" ht="15">
      <c r="A470" s="69">
        <v>46003</v>
      </c>
      <c r="B470">
        <f t="shared" si="7"/>
        <v>5</v>
      </c>
      <c r="C470">
        <v>2</v>
      </c>
    </row>
    <row r="471" spans="1:3" ht="15">
      <c r="A471" s="69">
        <v>46004</v>
      </c>
      <c r="B471">
        <f t="shared" si="7"/>
        <v>6</v>
      </c>
      <c r="C471">
        <v>2</v>
      </c>
    </row>
    <row r="472" spans="1:3" ht="15">
      <c r="A472" s="69">
        <v>46005</v>
      </c>
      <c r="B472">
        <f t="shared" si="7"/>
        <v>7</v>
      </c>
      <c r="C472">
        <v>2</v>
      </c>
    </row>
    <row r="473" spans="1:3" ht="15">
      <c r="A473" s="69">
        <v>46006</v>
      </c>
      <c r="B473">
        <f t="shared" si="7"/>
        <v>1</v>
      </c>
      <c r="C473">
        <v>2</v>
      </c>
    </row>
    <row r="474" spans="1:3" ht="15">
      <c r="A474" s="69">
        <v>46007</v>
      </c>
      <c r="B474">
        <f t="shared" si="7"/>
        <v>2</v>
      </c>
      <c r="C474">
        <v>2</v>
      </c>
    </row>
    <row r="475" spans="1:3" ht="15">
      <c r="A475" s="69">
        <v>46008</v>
      </c>
      <c r="B475">
        <f t="shared" si="7"/>
        <v>3</v>
      </c>
      <c r="C475">
        <v>2</v>
      </c>
    </row>
    <row r="476" spans="1:3" ht="15">
      <c r="A476" s="69">
        <v>46009</v>
      </c>
      <c r="B476">
        <f t="shared" si="7"/>
        <v>4</v>
      </c>
      <c r="C476">
        <v>2</v>
      </c>
    </row>
    <row r="477" spans="1:3" ht="15">
      <c r="A477" s="69">
        <v>46010</v>
      </c>
      <c r="B477">
        <f t="shared" si="7"/>
        <v>5</v>
      </c>
      <c r="C477">
        <v>2</v>
      </c>
    </row>
    <row r="478" spans="1:3" ht="15">
      <c r="A478" s="69">
        <v>46011</v>
      </c>
      <c r="B478">
        <f t="shared" si="7"/>
        <v>6</v>
      </c>
      <c r="C478">
        <v>2</v>
      </c>
    </row>
    <row r="479" spans="1:3" ht="15">
      <c r="A479" s="69">
        <v>46012</v>
      </c>
      <c r="B479">
        <f t="shared" si="7"/>
        <v>7</v>
      </c>
      <c r="C479">
        <v>2</v>
      </c>
    </row>
    <row r="480" spans="1:3" ht="15">
      <c r="A480" s="69">
        <v>46013</v>
      </c>
      <c r="B480">
        <f t="shared" si="7"/>
        <v>1</v>
      </c>
      <c r="C480">
        <v>2</v>
      </c>
    </row>
    <row r="481" spans="1:3" ht="15">
      <c r="A481" s="69">
        <v>46014</v>
      </c>
      <c r="B481">
        <f t="shared" si="7"/>
        <v>2</v>
      </c>
      <c r="C481">
        <v>2</v>
      </c>
    </row>
    <row r="482" spans="1:3" ht="15">
      <c r="A482" s="69">
        <v>46015</v>
      </c>
      <c r="B482">
        <f t="shared" si="7"/>
        <v>3</v>
      </c>
      <c r="C482">
        <v>2</v>
      </c>
    </row>
    <row r="483" spans="1:3" ht="15">
      <c r="A483" s="69">
        <v>46016</v>
      </c>
      <c r="B483">
        <v>7</v>
      </c>
      <c r="C483">
        <v>2</v>
      </c>
    </row>
    <row r="484" spans="1:3" ht="15">
      <c r="A484" s="69">
        <v>46017</v>
      </c>
      <c r="B484">
        <f t="shared" si="7"/>
        <v>5</v>
      </c>
      <c r="C484">
        <v>2</v>
      </c>
    </row>
    <row r="485" spans="1:3" ht="15">
      <c r="A485" s="69">
        <v>46018</v>
      </c>
      <c r="B485">
        <f t="shared" si="7"/>
        <v>6</v>
      </c>
      <c r="C485">
        <v>2</v>
      </c>
    </row>
    <row r="486" spans="1:3" ht="15">
      <c r="A486" s="69">
        <v>46019</v>
      </c>
      <c r="B486">
        <f t="shared" si="7"/>
        <v>7</v>
      </c>
      <c r="C486">
        <v>2</v>
      </c>
    </row>
    <row r="487" spans="1:3" ht="15">
      <c r="A487" s="69">
        <v>46020</v>
      </c>
      <c r="B487">
        <f t="shared" si="7"/>
        <v>1</v>
      </c>
      <c r="C487">
        <v>2</v>
      </c>
    </row>
    <row r="488" spans="1:3" ht="15">
      <c r="A488" s="69">
        <v>46021</v>
      </c>
      <c r="B488">
        <f t="shared" si="7"/>
        <v>2</v>
      </c>
      <c r="C488">
        <v>2</v>
      </c>
    </row>
    <row r="489" spans="1:3" ht="15">
      <c r="A489" s="69">
        <v>46022</v>
      </c>
      <c r="B489">
        <f t="shared" si="7"/>
        <v>3</v>
      </c>
      <c r="C489">
        <v>2</v>
      </c>
    </row>
    <row r="490" spans="1:3" ht="15">
      <c r="A490" s="69">
        <v>46023</v>
      </c>
      <c r="B490">
        <v>7</v>
      </c>
      <c r="C490">
        <v>2</v>
      </c>
    </row>
    <row r="491" spans="1:3" ht="15">
      <c r="A491" s="69">
        <v>46024</v>
      </c>
      <c r="B491">
        <f t="shared" si="7"/>
        <v>5</v>
      </c>
      <c r="C491">
        <v>2</v>
      </c>
    </row>
    <row r="492" spans="1:3" ht="15">
      <c r="A492" s="69">
        <v>46025</v>
      </c>
      <c r="B492">
        <f t="shared" si="7"/>
        <v>6</v>
      </c>
      <c r="C492">
        <v>2</v>
      </c>
    </row>
    <row r="493" spans="1:3" ht="15">
      <c r="A493" s="69">
        <v>46026</v>
      </c>
      <c r="B493">
        <f t="shared" si="7"/>
        <v>7</v>
      </c>
      <c r="C493">
        <v>2</v>
      </c>
    </row>
    <row r="494" spans="1:3" ht="15">
      <c r="A494" s="69">
        <v>46027</v>
      </c>
      <c r="B494">
        <f t="shared" si="7"/>
        <v>1</v>
      </c>
      <c r="C494">
        <v>2</v>
      </c>
    </row>
    <row r="495" spans="1:3" ht="15">
      <c r="A495" s="69">
        <v>46028</v>
      </c>
      <c r="B495">
        <f t="shared" si="7"/>
        <v>2</v>
      </c>
      <c r="C495">
        <v>2</v>
      </c>
    </row>
    <row r="496" spans="1:3" ht="15">
      <c r="A496" s="69">
        <v>46029</v>
      </c>
      <c r="B496">
        <f t="shared" si="7"/>
        <v>3</v>
      </c>
      <c r="C496">
        <v>2</v>
      </c>
    </row>
    <row r="497" spans="1:3" ht="15">
      <c r="A497" s="69">
        <v>46030</v>
      </c>
      <c r="B497">
        <f t="shared" si="7"/>
        <v>4</v>
      </c>
      <c r="C497">
        <v>2</v>
      </c>
    </row>
    <row r="498" spans="1:3" ht="15">
      <c r="A498" s="69">
        <v>46031</v>
      </c>
      <c r="B498">
        <f t="shared" si="7"/>
        <v>5</v>
      </c>
      <c r="C498">
        <v>2</v>
      </c>
    </row>
    <row r="499" spans="1:3" ht="15">
      <c r="A499" s="69">
        <v>46032</v>
      </c>
      <c r="B499">
        <f t="shared" si="7"/>
        <v>6</v>
      </c>
      <c r="C499">
        <v>2</v>
      </c>
    </row>
    <row r="500" spans="1:3" ht="15">
      <c r="A500" s="69">
        <v>46033</v>
      </c>
      <c r="B500">
        <f aca="true" t="shared" si="8" ref="B500:B563">WEEKDAY(A500,2)</f>
        <v>7</v>
      </c>
      <c r="C500">
        <v>2</v>
      </c>
    </row>
    <row r="501" spans="1:3" ht="15">
      <c r="A501" s="69">
        <v>46034</v>
      </c>
      <c r="B501">
        <f t="shared" si="8"/>
        <v>1</v>
      </c>
      <c r="C501">
        <v>2</v>
      </c>
    </row>
    <row r="502" spans="1:3" ht="15">
      <c r="A502" s="69">
        <v>46035</v>
      </c>
      <c r="B502">
        <f t="shared" si="8"/>
        <v>2</v>
      </c>
      <c r="C502">
        <v>2</v>
      </c>
    </row>
    <row r="503" spans="1:3" ht="15">
      <c r="A503" s="69">
        <v>46036</v>
      </c>
      <c r="B503">
        <f t="shared" si="8"/>
        <v>3</v>
      </c>
      <c r="C503">
        <v>2</v>
      </c>
    </row>
    <row r="504" spans="1:3" ht="15">
      <c r="A504" s="69">
        <v>46037</v>
      </c>
      <c r="B504">
        <f t="shared" si="8"/>
        <v>4</v>
      </c>
      <c r="C504">
        <v>2</v>
      </c>
    </row>
    <row r="505" spans="1:3" ht="15">
      <c r="A505" s="69">
        <v>46038</v>
      </c>
      <c r="B505">
        <f t="shared" si="8"/>
        <v>5</v>
      </c>
      <c r="C505">
        <v>2</v>
      </c>
    </row>
    <row r="506" spans="1:3" ht="15">
      <c r="A506" s="69">
        <v>46039</v>
      </c>
      <c r="B506">
        <f t="shared" si="8"/>
        <v>6</v>
      </c>
      <c r="C506">
        <v>2</v>
      </c>
    </row>
    <row r="507" spans="1:3" ht="15">
      <c r="A507" s="69">
        <v>46040</v>
      </c>
      <c r="B507">
        <f t="shared" si="8"/>
        <v>7</v>
      </c>
      <c r="C507">
        <v>2</v>
      </c>
    </row>
    <row r="508" spans="1:3" ht="15">
      <c r="A508" s="69">
        <v>46041</v>
      </c>
      <c r="B508">
        <f t="shared" si="8"/>
        <v>1</v>
      </c>
      <c r="C508">
        <v>2</v>
      </c>
    </row>
    <row r="509" spans="1:3" ht="15">
      <c r="A509" s="69">
        <v>46042</v>
      </c>
      <c r="B509">
        <f t="shared" si="8"/>
        <v>2</v>
      </c>
      <c r="C509">
        <v>2</v>
      </c>
    </row>
    <row r="510" spans="1:3" ht="15">
      <c r="A510" s="69">
        <v>46043</v>
      </c>
      <c r="B510">
        <f t="shared" si="8"/>
        <v>3</v>
      </c>
      <c r="C510">
        <v>2</v>
      </c>
    </row>
    <row r="511" spans="1:3" ht="15">
      <c r="A511" s="69">
        <v>46044</v>
      </c>
      <c r="B511">
        <f t="shared" si="8"/>
        <v>4</v>
      </c>
      <c r="C511">
        <v>2</v>
      </c>
    </row>
    <row r="512" spans="1:3" ht="15">
      <c r="A512" s="69">
        <v>46045</v>
      </c>
      <c r="B512">
        <f t="shared" si="8"/>
        <v>5</v>
      </c>
      <c r="C512">
        <v>2</v>
      </c>
    </row>
    <row r="513" spans="1:3" ht="15">
      <c r="A513" s="69">
        <v>46046</v>
      </c>
      <c r="B513">
        <f t="shared" si="8"/>
        <v>6</v>
      </c>
      <c r="C513">
        <v>2</v>
      </c>
    </row>
    <row r="514" spans="1:3" ht="15">
      <c r="A514" s="69">
        <v>46047</v>
      </c>
      <c r="B514">
        <f t="shared" si="8"/>
        <v>7</v>
      </c>
      <c r="C514">
        <v>2</v>
      </c>
    </row>
    <row r="515" spans="1:3" ht="15">
      <c r="A515" s="69">
        <v>46048</v>
      </c>
      <c r="B515">
        <f t="shared" si="8"/>
        <v>1</v>
      </c>
      <c r="C515">
        <v>2</v>
      </c>
    </row>
    <row r="516" spans="1:3" ht="15">
      <c r="A516" s="69">
        <v>46049</v>
      </c>
      <c r="B516">
        <f t="shared" si="8"/>
        <v>2</v>
      </c>
      <c r="C516">
        <v>2</v>
      </c>
    </row>
    <row r="517" spans="1:3" ht="15">
      <c r="A517" s="69">
        <v>46050</v>
      </c>
      <c r="B517">
        <f t="shared" si="8"/>
        <v>3</v>
      </c>
      <c r="C517">
        <v>2</v>
      </c>
    </row>
    <row r="518" spans="1:3" ht="15">
      <c r="A518" s="69">
        <v>46051</v>
      </c>
      <c r="B518">
        <f t="shared" si="8"/>
        <v>4</v>
      </c>
      <c r="C518">
        <v>2</v>
      </c>
    </row>
    <row r="519" spans="1:3" ht="15">
      <c r="A519" s="69">
        <v>46052</v>
      </c>
      <c r="B519">
        <f t="shared" si="8"/>
        <v>5</v>
      </c>
      <c r="C519">
        <v>2</v>
      </c>
    </row>
    <row r="520" spans="1:3" ht="15">
      <c r="A520" s="69">
        <v>46053</v>
      </c>
      <c r="B520">
        <f t="shared" si="8"/>
        <v>6</v>
      </c>
      <c r="C520">
        <v>2</v>
      </c>
    </row>
    <row r="521" spans="1:3" ht="15">
      <c r="A521" s="69">
        <v>46054</v>
      </c>
      <c r="B521">
        <f t="shared" si="8"/>
        <v>7</v>
      </c>
      <c r="C521">
        <v>2</v>
      </c>
    </row>
    <row r="522" spans="1:3" ht="15">
      <c r="A522" s="69">
        <v>46055</v>
      </c>
      <c r="B522">
        <f t="shared" si="8"/>
        <v>1</v>
      </c>
      <c r="C522">
        <v>2</v>
      </c>
    </row>
    <row r="523" spans="1:3" ht="15">
      <c r="A523" s="69">
        <v>46056</v>
      </c>
      <c r="B523">
        <f t="shared" si="8"/>
        <v>2</v>
      </c>
      <c r="C523">
        <v>2</v>
      </c>
    </row>
    <row r="524" spans="1:3" ht="15">
      <c r="A524" s="69">
        <v>46057</v>
      </c>
      <c r="B524">
        <f t="shared" si="8"/>
        <v>3</v>
      </c>
      <c r="C524">
        <v>2</v>
      </c>
    </row>
    <row r="525" spans="1:3" ht="15">
      <c r="A525" s="69">
        <v>46058</v>
      </c>
      <c r="B525">
        <f t="shared" si="8"/>
        <v>4</v>
      </c>
      <c r="C525">
        <v>2</v>
      </c>
    </row>
    <row r="526" spans="1:3" ht="15">
      <c r="A526" s="69">
        <v>46059</v>
      </c>
      <c r="B526">
        <f t="shared" si="8"/>
        <v>5</v>
      </c>
      <c r="C526">
        <v>2</v>
      </c>
    </row>
    <row r="527" spans="1:3" ht="15">
      <c r="A527" s="69">
        <v>46060</v>
      </c>
      <c r="B527">
        <f t="shared" si="8"/>
        <v>6</v>
      </c>
      <c r="C527">
        <v>2</v>
      </c>
    </row>
    <row r="528" spans="1:3" ht="15">
      <c r="A528" s="69">
        <v>46061</v>
      </c>
      <c r="B528">
        <f t="shared" si="8"/>
        <v>7</v>
      </c>
      <c r="C528">
        <v>2</v>
      </c>
    </row>
    <row r="529" spans="1:3" ht="15">
      <c r="A529" s="69">
        <v>46062</v>
      </c>
      <c r="B529">
        <f t="shared" si="8"/>
        <v>1</v>
      </c>
      <c r="C529">
        <v>2</v>
      </c>
    </row>
    <row r="530" spans="1:3" ht="15">
      <c r="A530" s="69">
        <v>46063</v>
      </c>
      <c r="B530">
        <f t="shared" si="8"/>
        <v>2</v>
      </c>
      <c r="C530">
        <v>2</v>
      </c>
    </row>
    <row r="531" spans="1:3" ht="15">
      <c r="A531" s="69">
        <v>46064</v>
      </c>
      <c r="B531">
        <f t="shared" si="8"/>
        <v>3</v>
      </c>
      <c r="C531">
        <v>2</v>
      </c>
    </row>
    <row r="532" spans="1:3" ht="15">
      <c r="A532" s="69">
        <v>46065</v>
      </c>
      <c r="B532">
        <f t="shared" si="8"/>
        <v>4</v>
      </c>
      <c r="C532">
        <v>2</v>
      </c>
    </row>
    <row r="533" spans="1:3" ht="15">
      <c r="A533" s="69">
        <v>46066</v>
      </c>
      <c r="B533">
        <f t="shared" si="8"/>
        <v>5</v>
      </c>
      <c r="C533">
        <v>2</v>
      </c>
    </row>
    <row r="534" spans="1:3" ht="15">
      <c r="A534" s="69">
        <v>46067</v>
      </c>
      <c r="B534">
        <f t="shared" si="8"/>
        <v>6</v>
      </c>
      <c r="C534">
        <v>2</v>
      </c>
    </row>
    <row r="535" spans="1:3" ht="15">
      <c r="A535" s="69">
        <v>46068</v>
      </c>
      <c r="B535">
        <f t="shared" si="8"/>
        <v>7</v>
      </c>
      <c r="C535">
        <v>2</v>
      </c>
    </row>
    <row r="536" spans="1:3" ht="15">
      <c r="A536" s="69">
        <v>46069</v>
      </c>
      <c r="B536">
        <f t="shared" si="8"/>
        <v>1</v>
      </c>
      <c r="C536">
        <v>2</v>
      </c>
    </row>
    <row r="537" spans="1:3" ht="15">
      <c r="A537" s="69">
        <v>46070</v>
      </c>
      <c r="B537">
        <f t="shared" si="8"/>
        <v>2</v>
      </c>
      <c r="C537">
        <v>2</v>
      </c>
    </row>
    <row r="538" spans="1:3" ht="15">
      <c r="A538" s="69">
        <v>46071</v>
      </c>
      <c r="B538">
        <f t="shared" si="8"/>
        <v>3</v>
      </c>
      <c r="C538">
        <v>2</v>
      </c>
    </row>
    <row r="539" spans="1:3" ht="15">
      <c r="A539" s="69">
        <v>46072</v>
      </c>
      <c r="B539">
        <f t="shared" si="8"/>
        <v>4</v>
      </c>
      <c r="C539">
        <v>2</v>
      </c>
    </row>
    <row r="540" spans="1:3" ht="15">
      <c r="A540" s="69">
        <v>46073</v>
      </c>
      <c r="B540">
        <f t="shared" si="8"/>
        <v>5</v>
      </c>
      <c r="C540">
        <v>2</v>
      </c>
    </row>
    <row r="541" spans="1:3" ht="15">
      <c r="A541" s="69">
        <v>46074</v>
      </c>
      <c r="B541">
        <f t="shared" si="8"/>
        <v>6</v>
      </c>
      <c r="C541">
        <v>2</v>
      </c>
    </row>
    <row r="542" spans="1:3" ht="15">
      <c r="A542" s="69">
        <v>46075</v>
      </c>
      <c r="B542">
        <f t="shared" si="8"/>
        <v>7</v>
      </c>
      <c r="C542">
        <v>2</v>
      </c>
    </row>
    <row r="543" spans="1:3" ht="15">
      <c r="A543" s="69">
        <v>46076</v>
      </c>
      <c r="B543">
        <f t="shared" si="8"/>
        <v>1</v>
      </c>
      <c r="C543">
        <v>2</v>
      </c>
    </row>
    <row r="544" spans="1:3" ht="15">
      <c r="A544" s="69">
        <v>46077</v>
      </c>
      <c r="B544">
        <f t="shared" si="8"/>
        <v>2</v>
      </c>
      <c r="C544">
        <v>2</v>
      </c>
    </row>
    <row r="545" spans="1:3" ht="15">
      <c r="A545" s="69">
        <v>46078</v>
      </c>
      <c r="B545">
        <f t="shared" si="8"/>
        <v>3</v>
      </c>
      <c r="C545">
        <v>2</v>
      </c>
    </row>
    <row r="546" spans="1:3" ht="15">
      <c r="A546" s="69">
        <v>46079</v>
      </c>
      <c r="B546">
        <f t="shared" si="8"/>
        <v>4</v>
      </c>
      <c r="C546">
        <v>2</v>
      </c>
    </row>
    <row r="547" spans="1:3" ht="15">
      <c r="A547" s="69">
        <v>46080</v>
      </c>
      <c r="B547">
        <f t="shared" si="8"/>
        <v>5</v>
      </c>
      <c r="C547">
        <v>2</v>
      </c>
    </row>
    <row r="548" spans="1:3" ht="15">
      <c r="A548" s="69">
        <v>46081</v>
      </c>
      <c r="B548">
        <f t="shared" si="8"/>
        <v>6</v>
      </c>
      <c r="C548">
        <v>2</v>
      </c>
    </row>
    <row r="549" spans="1:3" ht="15">
      <c r="A549" s="69">
        <v>46082</v>
      </c>
      <c r="B549">
        <f t="shared" si="8"/>
        <v>7</v>
      </c>
      <c r="C549">
        <v>2</v>
      </c>
    </row>
    <row r="550" spans="1:3" ht="15">
      <c r="A550" s="69">
        <v>46083</v>
      </c>
      <c r="B550">
        <f t="shared" si="8"/>
        <v>1</v>
      </c>
      <c r="C550">
        <v>2</v>
      </c>
    </row>
    <row r="551" spans="1:3" ht="15">
      <c r="A551" s="69">
        <v>46084</v>
      </c>
      <c r="B551">
        <f t="shared" si="8"/>
        <v>2</v>
      </c>
      <c r="C551">
        <v>2</v>
      </c>
    </row>
    <row r="552" spans="1:3" ht="15">
      <c r="A552" s="69">
        <v>46085</v>
      </c>
      <c r="B552">
        <f t="shared" si="8"/>
        <v>3</v>
      </c>
      <c r="C552">
        <v>2</v>
      </c>
    </row>
    <row r="553" spans="1:3" ht="15">
      <c r="A553" s="69">
        <v>46086</v>
      </c>
      <c r="B553">
        <f t="shared" si="8"/>
        <v>4</v>
      </c>
      <c r="C553">
        <v>2</v>
      </c>
    </row>
    <row r="554" spans="1:3" ht="15">
      <c r="A554" s="69">
        <v>46087</v>
      </c>
      <c r="B554">
        <f t="shared" si="8"/>
        <v>5</v>
      </c>
      <c r="C554">
        <v>2</v>
      </c>
    </row>
    <row r="555" spans="1:3" ht="15">
      <c r="A555" s="69">
        <v>46088</v>
      </c>
      <c r="B555">
        <f t="shared" si="8"/>
        <v>6</v>
      </c>
      <c r="C555">
        <v>2</v>
      </c>
    </row>
    <row r="556" spans="1:3" ht="15">
      <c r="A556" s="69">
        <v>46089</v>
      </c>
      <c r="B556">
        <f t="shared" si="8"/>
        <v>7</v>
      </c>
      <c r="C556">
        <v>2</v>
      </c>
    </row>
    <row r="557" spans="1:3" ht="15">
      <c r="A557" s="69">
        <v>46090</v>
      </c>
      <c r="B557">
        <f t="shared" si="8"/>
        <v>1</v>
      </c>
      <c r="C557">
        <v>2</v>
      </c>
    </row>
    <row r="558" spans="1:3" ht="15">
      <c r="A558" s="69">
        <v>46091</v>
      </c>
      <c r="B558">
        <f t="shared" si="8"/>
        <v>2</v>
      </c>
      <c r="C558">
        <v>2</v>
      </c>
    </row>
    <row r="559" spans="1:3" ht="15">
      <c r="A559" s="69">
        <v>46092</v>
      </c>
      <c r="B559">
        <f t="shared" si="8"/>
        <v>3</v>
      </c>
      <c r="C559">
        <v>2</v>
      </c>
    </row>
    <row r="560" spans="1:3" ht="15">
      <c r="A560" s="69">
        <v>46093</v>
      </c>
      <c r="B560">
        <f t="shared" si="8"/>
        <v>4</v>
      </c>
      <c r="C560">
        <v>2</v>
      </c>
    </row>
    <row r="561" spans="1:3" ht="15">
      <c r="A561" s="69">
        <v>46094</v>
      </c>
      <c r="B561">
        <f t="shared" si="8"/>
        <v>5</v>
      </c>
      <c r="C561">
        <v>2</v>
      </c>
    </row>
    <row r="562" spans="1:3" ht="15">
      <c r="A562" s="69">
        <v>46095</v>
      </c>
      <c r="B562">
        <f t="shared" si="8"/>
        <v>6</v>
      </c>
      <c r="C562">
        <v>2</v>
      </c>
    </row>
    <row r="563" spans="1:3" ht="15">
      <c r="A563" s="69">
        <v>46096</v>
      </c>
      <c r="B563">
        <f t="shared" si="8"/>
        <v>7</v>
      </c>
      <c r="C563">
        <v>2</v>
      </c>
    </row>
    <row r="564" spans="1:3" ht="15">
      <c r="A564" s="69">
        <v>46097</v>
      </c>
      <c r="B564">
        <f aca="true" t="shared" si="9" ref="B564:B627">WEEKDAY(A564,2)</f>
        <v>1</v>
      </c>
      <c r="C564">
        <v>2</v>
      </c>
    </row>
    <row r="565" spans="1:3" ht="15">
      <c r="A565" s="69">
        <v>46098</v>
      </c>
      <c r="B565">
        <f t="shared" si="9"/>
        <v>2</v>
      </c>
      <c r="C565">
        <v>2</v>
      </c>
    </row>
    <row r="566" spans="1:3" ht="15">
      <c r="A566" s="69">
        <v>46099</v>
      </c>
      <c r="B566">
        <f t="shared" si="9"/>
        <v>3</v>
      </c>
      <c r="C566">
        <v>2</v>
      </c>
    </row>
    <row r="567" spans="1:3" ht="15">
      <c r="A567" s="69">
        <v>46100</v>
      </c>
      <c r="B567">
        <f t="shared" si="9"/>
        <v>4</v>
      </c>
      <c r="C567">
        <v>2</v>
      </c>
    </row>
    <row r="568" spans="1:3" ht="15">
      <c r="A568" s="69">
        <v>46101</v>
      </c>
      <c r="B568">
        <f t="shared" si="9"/>
        <v>5</v>
      </c>
      <c r="C568">
        <v>2</v>
      </c>
    </row>
    <row r="569" spans="1:3" ht="15">
      <c r="A569" s="69">
        <v>46102</v>
      </c>
      <c r="B569">
        <f t="shared" si="9"/>
        <v>6</v>
      </c>
      <c r="C569">
        <v>2</v>
      </c>
    </row>
    <row r="570" spans="1:3" ht="15">
      <c r="A570" s="69">
        <v>46103</v>
      </c>
      <c r="B570">
        <f t="shared" si="9"/>
        <v>7</v>
      </c>
      <c r="C570">
        <v>2</v>
      </c>
    </row>
    <row r="571" spans="1:3" ht="15">
      <c r="A571" s="69">
        <v>46104</v>
      </c>
      <c r="B571">
        <f t="shared" si="9"/>
        <v>1</v>
      </c>
      <c r="C571">
        <v>2</v>
      </c>
    </row>
    <row r="572" spans="1:3" ht="15">
      <c r="A572" s="69">
        <v>46105</v>
      </c>
      <c r="B572">
        <f t="shared" si="9"/>
        <v>2</v>
      </c>
      <c r="C572">
        <v>2</v>
      </c>
    </row>
    <row r="573" spans="1:3" ht="15">
      <c r="A573" s="69">
        <v>46106</v>
      </c>
      <c r="B573">
        <f t="shared" si="9"/>
        <v>3</v>
      </c>
      <c r="C573">
        <v>2</v>
      </c>
    </row>
    <row r="574" spans="1:3" ht="15">
      <c r="A574" s="69">
        <v>46107</v>
      </c>
      <c r="B574">
        <f t="shared" si="9"/>
        <v>4</v>
      </c>
      <c r="C574">
        <v>2</v>
      </c>
    </row>
    <row r="575" spans="1:3" ht="15">
      <c r="A575" s="69">
        <v>46108</v>
      </c>
      <c r="B575">
        <f t="shared" si="9"/>
        <v>5</v>
      </c>
      <c r="C575">
        <v>2</v>
      </c>
    </row>
    <row r="576" spans="1:3" ht="15">
      <c r="A576" s="69">
        <v>46109</v>
      </c>
      <c r="B576">
        <f t="shared" si="9"/>
        <v>6</v>
      </c>
      <c r="C576">
        <v>2</v>
      </c>
    </row>
    <row r="577" spans="1:3" ht="15">
      <c r="A577" s="69">
        <v>46110</v>
      </c>
      <c r="B577">
        <f t="shared" si="9"/>
        <v>7</v>
      </c>
      <c r="C577">
        <v>2</v>
      </c>
    </row>
    <row r="578" spans="1:3" ht="15">
      <c r="A578" s="69">
        <v>46111</v>
      </c>
      <c r="B578">
        <f t="shared" si="9"/>
        <v>1</v>
      </c>
      <c r="C578">
        <v>2</v>
      </c>
    </row>
    <row r="579" spans="1:3" ht="15">
      <c r="A579" s="69">
        <v>46112</v>
      </c>
      <c r="B579">
        <f t="shared" si="9"/>
        <v>2</v>
      </c>
      <c r="C579">
        <v>2</v>
      </c>
    </row>
    <row r="580" spans="1:3" ht="15">
      <c r="A580" s="69">
        <v>46113</v>
      </c>
      <c r="B580">
        <f t="shared" si="9"/>
        <v>3</v>
      </c>
      <c r="C580">
        <v>2</v>
      </c>
    </row>
    <row r="581" spans="1:3" ht="15">
      <c r="A581" s="69">
        <v>46114</v>
      </c>
      <c r="B581">
        <f t="shared" si="9"/>
        <v>4</v>
      </c>
      <c r="C581">
        <v>2</v>
      </c>
    </row>
    <row r="582" spans="1:3" ht="15">
      <c r="A582" s="69">
        <v>46115</v>
      </c>
      <c r="B582">
        <f t="shared" si="9"/>
        <v>5</v>
      </c>
      <c r="C582">
        <v>2</v>
      </c>
    </row>
    <row r="583" spans="1:3" ht="15">
      <c r="A583" s="69">
        <v>46116</v>
      </c>
      <c r="B583">
        <f t="shared" si="9"/>
        <v>6</v>
      </c>
      <c r="C583">
        <v>2</v>
      </c>
    </row>
    <row r="584" spans="1:3" ht="15">
      <c r="A584" s="69">
        <v>46117</v>
      </c>
      <c r="B584">
        <f t="shared" si="9"/>
        <v>7</v>
      </c>
      <c r="C584">
        <v>2</v>
      </c>
    </row>
    <row r="585" spans="1:3" ht="15">
      <c r="A585" s="69">
        <v>46118</v>
      </c>
      <c r="B585">
        <f t="shared" si="9"/>
        <v>1</v>
      </c>
      <c r="C585">
        <v>2</v>
      </c>
    </row>
    <row r="586" spans="1:3" ht="15">
      <c r="A586" s="69">
        <v>46119</v>
      </c>
      <c r="B586">
        <f t="shared" si="9"/>
        <v>2</v>
      </c>
      <c r="C586">
        <v>2</v>
      </c>
    </row>
    <row r="587" spans="1:3" ht="15">
      <c r="A587" s="69">
        <v>46120</v>
      </c>
      <c r="B587">
        <f t="shared" si="9"/>
        <v>3</v>
      </c>
      <c r="C587">
        <v>2</v>
      </c>
    </row>
    <row r="588" spans="1:3" ht="15">
      <c r="A588" s="69">
        <v>46121</v>
      </c>
      <c r="B588">
        <f t="shared" si="9"/>
        <v>4</v>
      </c>
      <c r="C588">
        <v>2</v>
      </c>
    </row>
    <row r="589" spans="1:3" ht="15">
      <c r="A589" s="69">
        <v>46122</v>
      </c>
      <c r="B589">
        <f t="shared" si="9"/>
        <v>5</v>
      </c>
      <c r="C589">
        <v>2</v>
      </c>
    </row>
    <row r="590" spans="1:3" ht="15">
      <c r="A590" s="69">
        <v>46123</v>
      </c>
      <c r="B590">
        <f t="shared" si="9"/>
        <v>6</v>
      </c>
      <c r="C590">
        <v>2</v>
      </c>
    </row>
    <row r="591" spans="1:3" ht="15">
      <c r="A591" s="69">
        <v>46124</v>
      </c>
      <c r="B591">
        <f t="shared" si="9"/>
        <v>7</v>
      </c>
      <c r="C591">
        <v>2</v>
      </c>
    </row>
    <row r="592" spans="1:3" ht="15">
      <c r="A592" s="69">
        <v>46125</v>
      </c>
      <c r="B592">
        <f t="shared" si="9"/>
        <v>1</v>
      </c>
      <c r="C592">
        <v>2</v>
      </c>
    </row>
    <row r="593" spans="1:3" ht="15">
      <c r="A593" s="69">
        <v>46126</v>
      </c>
      <c r="B593">
        <f t="shared" si="9"/>
        <v>2</v>
      </c>
      <c r="C593">
        <v>2</v>
      </c>
    </row>
    <row r="594" spans="1:3" ht="15">
      <c r="A594" s="69">
        <v>46127</v>
      </c>
      <c r="B594">
        <f t="shared" si="9"/>
        <v>3</v>
      </c>
      <c r="C594">
        <v>2</v>
      </c>
    </row>
    <row r="595" spans="1:3" ht="15">
      <c r="A595" s="69">
        <v>46128</v>
      </c>
      <c r="B595">
        <f t="shared" si="9"/>
        <v>4</v>
      </c>
      <c r="C595">
        <v>2</v>
      </c>
    </row>
    <row r="596" spans="1:3" ht="15">
      <c r="A596" s="69">
        <v>46129</v>
      </c>
      <c r="B596">
        <f t="shared" si="9"/>
        <v>5</v>
      </c>
      <c r="C596">
        <v>2</v>
      </c>
    </row>
    <row r="597" spans="1:3" ht="15">
      <c r="A597" s="69">
        <v>46130</v>
      </c>
      <c r="B597">
        <f t="shared" si="9"/>
        <v>6</v>
      </c>
      <c r="C597">
        <v>2</v>
      </c>
    </row>
    <row r="598" spans="1:3" ht="15">
      <c r="A598" s="69">
        <v>46131</v>
      </c>
      <c r="B598">
        <f t="shared" si="9"/>
        <v>7</v>
      </c>
      <c r="C598">
        <v>2</v>
      </c>
    </row>
    <row r="599" spans="1:3" ht="15">
      <c r="A599" s="69">
        <v>46132</v>
      </c>
      <c r="B599">
        <f t="shared" si="9"/>
        <v>1</v>
      </c>
      <c r="C599">
        <v>2</v>
      </c>
    </row>
    <row r="600" spans="1:3" ht="15">
      <c r="A600" s="69">
        <v>46133</v>
      </c>
      <c r="B600">
        <f t="shared" si="9"/>
        <v>2</v>
      </c>
      <c r="C600">
        <v>2</v>
      </c>
    </row>
    <row r="601" spans="1:3" ht="15">
      <c r="A601" s="69">
        <v>46134</v>
      </c>
      <c r="B601">
        <f t="shared" si="9"/>
        <v>3</v>
      </c>
      <c r="C601">
        <v>2</v>
      </c>
    </row>
    <row r="602" spans="1:3" ht="15">
      <c r="A602" s="69">
        <v>46135</v>
      </c>
      <c r="B602">
        <f t="shared" si="9"/>
        <v>4</v>
      </c>
      <c r="C602">
        <v>2</v>
      </c>
    </row>
    <row r="603" spans="1:3" ht="15">
      <c r="A603" s="69">
        <v>46136</v>
      </c>
      <c r="B603">
        <f t="shared" si="9"/>
        <v>5</v>
      </c>
      <c r="C603">
        <v>2</v>
      </c>
    </row>
    <row r="604" spans="1:3" ht="15">
      <c r="A604" s="69">
        <v>46137</v>
      </c>
      <c r="B604">
        <f t="shared" si="9"/>
        <v>6</v>
      </c>
      <c r="C604">
        <v>2</v>
      </c>
    </row>
    <row r="605" spans="1:3" ht="15">
      <c r="A605" s="69">
        <v>46138</v>
      </c>
      <c r="B605">
        <f t="shared" si="9"/>
        <v>7</v>
      </c>
      <c r="C605">
        <v>2</v>
      </c>
    </row>
    <row r="606" spans="1:3" ht="15">
      <c r="A606" s="69">
        <v>46139</v>
      </c>
      <c r="B606">
        <f t="shared" si="9"/>
        <v>1</v>
      </c>
      <c r="C606">
        <v>2</v>
      </c>
    </row>
    <row r="607" spans="1:3" ht="15">
      <c r="A607" s="69">
        <v>46140</v>
      </c>
      <c r="B607">
        <f t="shared" si="9"/>
        <v>2</v>
      </c>
      <c r="C607">
        <v>2</v>
      </c>
    </row>
    <row r="608" spans="1:3" ht="15">
      <c r="A608" s="69">
        <v>46141</v>
      </c>
      <c r="B608">
        <f t="shared" si="9"/>
        <v>3</v>
      </c>
      <c r="C608">
        <v>2</v>
      </c>
    </row>
    <row r="609" spans="1:3" ht="15">
      <c r="A609" s="69">
        <v>46142</v>
      </c>
      <c r="B609">
        <f t="shared" si="9"/>
        <v>4</v>
      </c>
      <c r="C609">
        <v>2</v>
      </c>
    </row>
    <row r="610" spans="1:3" ht="15">
      <c r="A610" s="69">
        <v>46143</v>
      </c>
      <c r="B610">
        <f t="shared" si="9"/>
        <v>5</v>
      </c>
      <c r="C610">
        <v>2</v>
      </c>
    </row>
    <row r="611" spans="1:3" ht="15">
      <c r="A611" s="69">
        <v>46144</v>
      </c>
      <c r="B611">
        <f t="shared" si="9"/>
        <v>6</v>
      </c>
      <c r="C611">
        <v>2</v>
      </c>
    </row>
    <row r="612" spans="1:3" ht="15">
      <c r="A612" s="69">
        <v>46145</v>
      </c>
      <c r="B612">
        <f t="shared" si="9"/>
        <v>7</v>
      </c>
      <c r="C612">
        <v>2</v>
      </c>
    </row>
    <row r="613" spans="1:3" ht="15">
      <c r="A613" s="69">
        <v>46146</v>
      </c>
      <c r="B613">
        <f t="shared" si="9"/>
        <v>1</v>
      </c>
      <c r="C613">
        <v>2</v>
      </c>
    </row>
    <row r="614" spans="1:3" ht="15">
      <c r="A614" s="69">
        <v>46147</v>
      </c>
      <c r="B614">
        <f t="shared" si="9"/>
        <v>2</v>
      </c>
      <c r="C614">
        <v>2</v>
      </c>
    </row>
    <row r="615" spans="1:3" ht="15">
      <c r="A615" s="69">
        <v>46148</v>
      </c>
      <c r="B615">
        <f t="shared" si="9"/>
        <v>3</v>
      </c>
      <c r="C615">
        <v>2</v>
      </c>
    </row>
    <row r="616" spans="1:3" ht="15">
      <c r="A616" s="69">
        <v>46149</v>
      </c>
      <c r="B616">
        <f t="shared" si="9"/>
        <v>4</v>
      </c>
      <c r="C616">
        <v>2</v>
      </c>
    </row>
    <row r="617" spans="1:3" ht="15">
      <c r="A617" s="69">
        <v>46150</v>
      </c>
      <c r="B617">
        <f t="shared" si="9"/>
        <v>5</v>
      </c>
      <c r="C617">
        <v>2</v>
      </c>
    </row>
    <row r="618" spans="1:3" ht="15">
      <c r="A618" s="69">
        <v>46151</v>
      </c>
      <c r="B618">
        <f t="shared" si="9"/>
        <v>6</v>
      </c>
      <c r="C618">
        <v>2</v>
      </c>
    </row>
    <row r="619" spans="1:3" ht="15">
      <c r="A619" s="69">
        <v>46152</v>
      </c>
      <c r="B619">
        <f t="shared" si="9"/>
        <v>7</v>
      </c>
      <c r="C619">
        <v>2</v>
      </c>
    </row>
    <row r="620" spans="1:3" ht="15">
      <c r="A620" s="69">
        <v>46153</v>
      </c>
      <c r="B620">
        <f t="shared" si="9"/>
        <v>1</v>
      </c>
      <c r="C620">
        <v>2</v>
      </c>
    </row>
    <row r="621" spans="1:3" ht="15">
      <c r="A621" s="69">
        <v>46154</v>
      </c>
      <c r="B621">
        <f t="shared" si="9"/>
        <v>2</v>
      </c>
      <c r="C621">
        <v>2</v>
      </c>
    </row>
    <row r="622" spans="1:3" ht="15">
      <c r="A622" s="69">
        <v>46155</v>
      </c>
      <c r="B622">
        <f t="shared" si="9"/>
        <v>3</v>
      </c>
      <c r="C622">
        <v>2</v>
      </c>
    </row>
    <row r="623" spans="1:3" ht="15">
      <c r="A623" s="69">
        <v>46156</v>
      </c>
      <c r="B623">
        <f t="shared" si="9"/>
        <v>4</v>
      </c>
      <c r="C623">
        <v>2</v>
      </c>
    </row>
    <row r="624" spans="1:3" ht="15">
      <c r="A624" s="69">
        <v>46157</v>
      </c>
      <c r="B624">
        <f t="shared" si="9"/>
        <v>5</v>
      </c>
      <c r="C624">
        <v>2</v>
      </c>
    </row>
    <row r="625" spans="1:3" ht="15">
      <c r="A625" s="69">
        <v>46158</v>
      </c>
      <c r="B625">
        <f t="shared" si="9"/>
        <v>6</v>
      </c>
      <c r="C625">
        <v>2</v>
      </c>
    </row>
    <row r="626" spans="1:3" ht="15">
      <c r="A626" s="69">
        <v>46159</v>
      </c>
      <c r="B626">
        <f t="shared" si="9"/>
        <v>7</v>
      </c>
      <c r="C626">
        <v>2</v>
      </c>
    </row>
    <row r="627" spans="1:3" ht="15">
      <c r="A627" s="69">
        <v>46160</v>
      </c>
      <c r="B627">
        <f t="shared" si="9"/>
        <v>1</v>
      </c>
      <c r="C627">
        <v>2</v>
      </c>
    </row>
    <row r="628" spans="1:3" ht="15">
      <c r="A628" s="69">
        <v>46161</v>
      </c>
      <c r="B628">
        <f aca="true" t="shared" si="10" ref="B628:B691">WEEKDAY(A628,2)</f>
        <v>2</v>
      </c>
      <c r="C628">
        <v>2</v>
      </c>
    </row>
    <row r="629" spans="1:3" ht="15">
      <c r="A629" s="69">
        <v>46162</v>
      </c>
      <c r="B629">
        <f t="shared" si="10"/>
        <v>3</v>
      </c>
      <c r="C629">
        <v>2</v>
      </c>
    </row>
    <row r="630" spans="1:3" ht="15">
      <c r="A630" s="69">
        <v>46163</v>
      </c>
      <c r="B630">
        <f t="shared" si="10"/>
        <v>4</v>
      </c>
      <c r="C630">
        <v>2</v>
      </c>
    </row>
    <row r="631" spans="1:3" ht="15">
      <c r="A631" s="69">
        <v>46164</v>
      </c>
      <c r="B631">
        <f t="shared" si="10"/>
        <v>5</v>
      </c>
      <c r="C631">
        <v>2</v>
      </c>
    </row>
    <row r="632" spans="1:3" ht="15">
      <c r="A632" s="69">
        <v>46165</v>
      </c>
      <c r="B632">
        <f t="shared" si="10"/>
        <v>6</v>
      </c>
      <c r="C632">
        <v>2</v>
      </c>
    </row>
    <row r="633" spans="1:3" ht="15">
      <c r="A633" s="69">
        <v>46166</v>
      </c>
      <c r="B633">
        <f t="shared" si="10"/>
        <v>7</v>
      </c>
      <c r="C633">
        <v>2</v>
      </c>
    </row>
    <row r="634" spans="1:3" ht="15">
      <c r="A634" s="69">
        <v>46167</v>
      </c>
      <c r="B634">
        <v>7</v>
      </c>
      <c r="C634">
        <v>2</v>
      </c>
    </row>
    <row r="635" spans="1:3" ht="15">
      <c r="A635" s="69">
        <v>46168</v>
      </c>
      <c r="B635">
        <f t="shared" si="10"/>
        <v>2</v>
      </c>
      <c r="C635">
        <v>2</v>
      </c>
    </row>
    <row r="636" spans="1:3" ht="15">
      <c r="A636" s="69">
        <v>46169</v>
      </c>
      <c r="B636">
        <f t="shared" si="10"/>
        <v>3</v>
      </c>
      <c r="C636">
        <v>2</v>
      </c>
    </row>
    <row r="637" spans="1:3" ht="15">
      <c r="A637" s="69">
        <v>46170</v>
      </c>
      <c r="B637">
        <f t="shared" si="10"/>
        <v>4</v>
      </c>
      <c r="C637">
        <v>2</v>
      </c>
    </row>
    <row r="638" spans="1:3" ht="15">
      <c r="A638" s="69">
        <v>46171</v>
      </c>
      <c r="B638">
        <f t="shared" si="10"/>
        <v>5</v>
      </c>
      <c r="C638">
        <v>2</v>
      </c>
    </row>
    <row r="639" spans="1:3" ht="15">
      <c r="A639" s="69">
        <v>46172</v>
      </c>
      <c r="B639">
        <f t="shared" si="10"/>
        <v>6</v>
      </c>
      <c r="C639">
        <v>2</v>
      </c>
    </row>
    <row r="640" spans="1:3" ht="15">
      <c r="A640" s="69">
        <v>46173</v>
      </c>
      <c r="B640">
        <f t="shared" si="10"/>
        <v>7</v>
      </c>
      <c r="C640">
        <v>2</v>
      </c>
    </row>
    <row r="641" spans="1:3" ht="15">
      <c r="A641" s="69">
        <v>46174</v>
      </c>
      <c r="B641">
        <f t="shared" si="10"/>
        <v>1</v>
      </c>
      <c r="C641">
        <v>2</v>
      </c>
    </row>
    <row r="642" spans="1:3" ht="15">
      <c r="A642" s="69">
        <v>46175</v>
      </c>
      <c r="B642">
        <f t="shared" si="10"/>
        <v>2</v>
      </c>
      <c r="C642">
        <v>2</v>
      </c>
    </row>
    <row r="643" spans="1:3" ht="15">
      <c r="A643" s="69">
        <v>46176</v>
      </c>
      <c r="B643">
        <f t="shared" si="10"/>
        <v>3</v>
      </c>
      <c r="C643">
        <v>2</v>
      </c>
    </row>
    <row r="644" spans="1:3" ht="15">
      <c r="A644" s="69">
        <v>46177</v>
      </c>
      <c r="B644">
        <f t="shared" si="10"/>
        <v>4</v>
      </c>
      <c r="C644">
        <v>2</v>
      </c>
    </row>
    <row r="645" spans="1:3" ht="15">
      <c r="A645" s="69">
        <v>46178</v>
      </c>
      <c r="B645">
        <f t="shared" si="10"/>
        <v>5</v>
      </c>
      <c r="C645">
        <v>2</v>
      </c>
    </row>
    <row r="646" spans="1:3" ht="15">
      <c r="A646" s="69">
        <v>46179</v>
      </c>
      <c r="B646">
        <f t="shared" si="10"/>
        <v>6</v>
      </c>
      <c r="C646">
        <v>2</v>
      </c>
    </row>
    <row r="647" spans="1:3" ht="15">
      <c r="A647" s="69">
        <v>46180</v>
      </c>
      <c r="B647">
        <f t="shared" si="10"/>
        <v>7</v>
      </c>
      <c r="C647">
        <v>2</v>
      </c>
    </row>
    <row r="648" spans="1:3" ht="15">
      <c r="A648" s="69">
        <v>46181</v>
      </c>
      <c r="B648">
        <f t="shared" si="10"/>
        <v>1</v>
      </c>
      <c r="C648">
        <v>2</v>
      </c>
    </row>
    <row r="649" spans="1:3" ht="15">
      <c r="A649" s="69">
        <v>46182</v>
      </c>
      <c r="B649">
        <f t="shared" si="10"/>
        <v>2</v>
      </c>
      <c r="C649">
        <v>2</v>
      </c>
    </row>
    <row r="650" spans="1:3" ht="15">
      <c r="A650" s="69">
        <v>46183</v>
      </c>
      <c r="B650">
        <f t="shared" si="10"/>
        <v>3</v>
      </c>
      <c r="C650">
        <v>2</v>
      </c>
    </row>
    <row r="651" spans="1:3" ht="15">
      <c r="A651" s="69">
        <v>46184</v>
      </c>
      <c r="B651">
        <f t="shared" si="10"/>
        <v>4</v>
      </c>
      <c r="C651">
        <v>2</v>
      </c>
    </row>
    <row r="652" spans="1:3" ht="15">
      <c r="A652" s="69">
        <v>46185</v>
      </c>
      <c r="B652">
        <f t="shared" si="10"/>
        <v>5</v>
      </c>
      <c r="C652">
        <v>2</v>
      </c>
    </row>
    <row r="653" spans="1:3" ht="15">
      <c r="A653" s="69">
        <v>46186</v>
      </c>
      <c r="B653">
        <f t="shared" si="10"/>
        <v>6</v>
      </c>
      <c r="C653">
        <v>2</v>
      </c>
    </row>
    <row r="654" spans="1:3" ht="15">
      <c r="A654" s="69">
        <v>46187</v>
      </c>
      <c r="B654">
        <f t="shared" si="10"/>
        <v>7</v>
      </c>
      <c r="C654">
        <v>2</v>
      </c>
    </row>
    <row r="655" spans="1:3" ht="15">
      <c r="A655" s="69">
        <v>46188</v>
      </c>
      <c r="B655">
        <f t="shared" si="10"/>
        <v>1</v>
      </c>
      <c r="C655">
        <v>2</v>
      </c>
    </row>
    <row r="656" spans="1:3" ht="15">
      <c r="A656" s="69">
        <v>46189</v>
      </c>
      <c r="B656">
        <f t="shared" si="10"/>
        <v>2</v>
      </c>
      <c r="C656">
        <v>2</v>
      </c>
    </row>
    <row r="657" spans="1:3" ht="15">
      <c r="A657" s="69">
        <v>46190</v>
      </c>
      <c r="B657">
        <f t="shared" si="10"/>
        <v>3</v>
      </c>
      <c r="C657">
        <v>2</v>
      </c>
    </row>
    <row r="658" spans="1:3" ht="15">
      <c r="A658" s="69">
        <v>46191</v>
      </c>
      <c r="B658">
        <f t="shared" si="10"/>
        <v>4</v>
      </c>
      <c r="C658">
        <v>2</v>
      </c>
    </row>
    <row r="659" spans="1:3" ht="15">
      <c r="A659" s="69">
        <v>46192</v>
      </c>
      <c r="B659">
        <f t="shared" si="10"/>
        <v>5</v>
      </c>
      <c r="C659">
        <v>2</v>
      </c>
    </row>
    <row r="660" spans="1:3" ht="15">
      <c r="A660" s="69">
        <v>46193</v>
      </c>
      <c r="B660">
        <f t="shared" si="10"/>
        <v>6</v>
      </c>
      <c r="C660">
        <v>2</v>
      </c>
    </row>
    <row r="661" spans="1:3" ht="15">
      <c r="A661" s="69">
        <v>46194</v>
      </c>
      <c r="B661">
        <f t="shared" si="10"/>
        <v>7</v>
      </c>
      <c r="C661">
        <v>2</v>
      </c>
    </row>
    <row r="662" spans="1:3" ht="15">
      <c r="A662" s="69">
        <v>46195</v>
      </c>
      <c r="B662">
        <f t="shared" si="10"/>
        <v>1</v>
      </c>
      <c r="C662">
        <v>2</v>
      </c>
    </row>
    <row r="663" spans="1:3" ht="15">
      <c r="A663" s="69">
        <v>46196</v>
      </c>
      <c r="B663">
        <f t="shared" si="10"/>
        <v>2</v>
      </c>
      <c r="C663">
        <v>2</v>
      </c>
    </row>
    <row r="664" spans="1:3" ht="15">
      <c r="A664" s="69">
        <v>46197</v>
      </c>
      <c r="B664">
        <f t="shared" si="10"/>
        <v>3</v>
      </c>
      <c r="C664">
        <v>2</v>
      </c>
    </row>
    <row r="665" spans="1:3" ht="15">
      <c r="A665" s="69">
        <v>46198</v>
      </c>
      <c r="B665">
        <f t="shared" si="10"/>
        <v>4</v>
      </c>
      <c r="C665">
        <v>2</v>
      </c>
    </row>
    <row r="666" spans="1:3" ht="15">
      <c r="A666" s="69">
        <v>46199</v>
      </c>
      <c r="B666">
        <f t="shared" si="10"/>
        <v>5</v>
      </c>
      <c r="C666">
        <v>2</v>
      </c>
    </row>
    <row r="667" spans="1:3" ht="15">
      <c r="A667" s="69">
        <v>46200</v>
      </c>
      <c r="B667">
        <f t="shared" si="10"/>
        <v>6</v>
      </c>
      <c r="C667">
        <v>2</v>
      </c>
    </row>
    <row r="668" spans="1:3" ht="15">
      <c r="A668" s="69">
        <v>46201</v>
      </c>
      <c r="B668">
        <f t="shared" si="10"/>
        <v>7</v>
      </c>
      <c r="C668">
        <v>2</v>
      </c>
    </row>
    <row r="669" spans="1:3" ht="15">
      <c r="A669" s="69">
        <v>46202</v>
      </c>
      <c r="B669">
        <f t="shared" si="10"/>
        <v>1</v>
      </c>
      <c r="C669">
        <v>2</v>
      </c>
    </row>
    <row r="670" spans="1:3" ht="15">
      <c r="A670" s="69">
        <v>46203</v>
      </c>
      <c r="B670">
        <f t="shared" si="10"/>
        <v>2</v>
      </c>
      <c r="C670">
        <v>2</v>
      </c>
    </row>
    <row r="671" spans="1:3" ht="15">
      <c r="A671" s="69">
        <v>46204</v>
      </c>
      <c r="B671">
        <f t="shared" si="10"/>
        <v>3</v>
      </c>
      <c r="C671">
        <v>2</v>
      </c>
    </row>
    <row r="672" spans="1:3" ht="15">
      <c r="A672" s="69">
        <v>46205</v>
      </c>
      <c r="B672">
        <f t="shared" si="10"/>
        <v>4</v>
      </c>
      <c r="C672">
        <v>2</v>
      </c>
    </row>
    <row r="673" spans="1:3" ht="15">
      <c r="A673" s="69">
        <v>46206</v>
      </c>
      <c r="B673">
        <v>7</v>
      </c>
      <c r="C673">
        <v>2</v>
      </c>
    </row>
    <row r="674" spans="1:3" ht="15">
      <c r="A674" s="69">
        <v>46207</v>
      </c>
      <c r="B674">
        <f t="shared" si="10"/>
        <v>6</v>
      </c>
      <c r="C674">
        <v>2</v>
      </c>
    </row>
    <row r="675" spans="1:3" ht="15">
      <c r="A675" s="69">
        <v>46208</v>
      </c>
      <c r="B675">
        <f t="shared" si="10"/>
        <v>7</v>
      </c>
      <c r="C675">
        <v>2</v>
      </c>
    </row>
    <row r="676" spans="1:3" ht="15">
      <c r="A676" s="69">
        <v>46209</v>
      </c>
      <c r="B676">
        <f t="shared" si="10"/>
        <v>1</v>
      </c>
      <c r="C676">
        <v>2</v>
      </c>
    </row>
    <row r="677" spans="1:3" ht="15">
      <c r="A677" s="69">
        <v>46210</v>
      </c>
      <c r="B677">
        <f t="shared" si="10"/>
        <v>2</v>
      </c>
      <c r="C677">
        <v>2</v>
      </c>
    </row>
    <row r="678" spans="1:3" ht="15">
      <c r="A678" s="69">
        <v>46211</v>
      </c>
      <c r="B678">
        <f t="shared" si="10"/>
        <v>3</v>
      </c>
      <c r="C678">
        <v>2</v>
      </c>
    </row>
    <row r="679" spans="1:3" ht="15">
      <c r="A679" s="69">
        <v>46212</v>
      </c>
      <c r="B679">
        <f t="shared" si="10"/>
        <v>4</v>
      </c>
      <c r="C679">
        <v>2</v>
      </c>
    </row>
    <row r="680" spans="1:3" ht="15">
      <c r="A680" s="69">
        <v>46213</v>
      </c>
      <c r="B680">
        <f t="shared" si="10"/>
        <v>5</v>
      </c>
      <c r="C680">
        <v>2</v>
      </c>
    </row>
    <row r="681" spans="1:3" ht="15">
      <c r="A681" s="69">
        <v>46214</v>
      </c>
      <c r="B681">
        <f t="shared" si="10"/>
        <v>6</v>
      </c>
      <c r="C681">
        <v>2</v>
      </c>
    </row>
    <row r="682" spans="1:3" ht="15">
      <c r="A682" s="69">
        <v>46215</v>
      </c>
      <c r="B682">
        <f t="shared" si="10"/>
        <v>7</v>
      </c>
      <c r="C682">
        <v>2</v>
      </c>
    </row>
    <row r="683" spans="1:3" ht="15">
      <c r="A683" s="69">
        <v>46216</v>
      </c>
      <c r="B683">
        <f t="shared" si="10"/>
        <v>1</v>
      </c>
      <c r="C683">
        <v>2</v>
      </c>
    </row>
    <row r="684" spans="1:3" ht="15">
      <c r="A684" s="69">
        <v>46217</v>
      </c>
      <c r="B684">
        <f t="shared" si="10"/>
        <v>2</v>
      </c>
      <c r="C684">
        <v>2</v>
      </c>
    </row>
    <row r="685" spans="1:3" ht="15">
      <c r="A685" s="69">
        <v>46218</v>
      </c>
      <c r="B685">
        <f t="shared" si="10"/>
        <v>3</v>
      </c>
      <c r="C685">
        <v>2</v>
      </c>
    </row>
    <row r="686" spans="1:3" ht="15">
      <c r="A686" s="69">
        <v>46219</v>
      </c>
      <c r="B686">
        <f t="shared" si="10"/>
        <v>4</v>
      </c>
      <c r="C686">
        <v>2</v>
      </c>
    </row>
    <row r="687" spans="1:3" ht="15">
      <c r="A687" s="69">
        <v>46220</v>
      </c>
      <c r="B687">
        <f t="shared" si="10"/>
        <v>5</v>
      </c>
      <c r="C687">
        <v>2</v>
      </c>
    </row>
    <row r="688" spans="1:3" ht="15">
      <c r="A688" s="69">
        <v>46221</v>
      </c>
      <c r="B688">
        <f t="shared" si="10"/>
        <v>6</v>
      </c>
      <c r="C688">
        <v>2</v>
      </c>
    </row>
    <row r="689" spans="1:3" ht="15">
      <c r="A689" s="69">
        <v>46222</v>
      </c>
      <c r="B689">
        <f t="shared" si="10"/>
        <v>7</v>
      </c>
      <c r="C689">
        <v>2</v>
      </c>
    </row>
    <row r="690" spans="1:3" ht="15">
      <c r="A690" s="69">
        <v>46223</v>
      </c>
      <c r="B690">
        <f t="shared" si="10"/>
        <v>1</v>
      </c>
      <c r="C690">
        <v>2</v>
      </c>
    </row>
    <row r="691" spans="1:3" ht="15">
      <c r="A691" s="69">
        <v>46224</v>
      </c>
      <c r="B691">
        <f t="shared" si="10"/>
        <v>2</v>
      </c>
      <c r="C691">
        <v>2</v>
      </c>
    </row>
    <row r="692" spans="1:3" ht="15">
      <c r="A692" s="69">
        <v>46225</v>
      </c>
      <c r="B692">
        <f aca="true" t="shared" si="11" ref="B692:B755">WEEKDAY(A692,2)</f>
        <v>3</v>
      </c>
      <c r="C692">
        <v>2</v>
      </c>
    </row>
    <row r="693" spans="1:3" ht="15">
      <c r="A693" s="69">
        <v>46226</v>
      </c>
      <c r="B693">
        <f t="shared" si="11"/>
        <v>4</v>
      </c>
      <c r="C693">
        <v>2</v>
      </c>
    </row>
    <row r="694" spans="1:3" ht="15">
      <c r="A694" s="69">
        <v>46227</v>
      </c>
      <c r="B694">
        <f t="shared" si="11"/>
        <v>5</v>
      </c>
      <c r="C694">
        <v>2</v>
      </c>
    </row>
    <row r="695" spans="1:3" ht="15">
      <c r="A695" s="69">
        <v>46228</v>
      </c>
      <c r="B695">
        <f t="shared" si="11"/>
        <v>6</v>
      </c>
      <c r="C695">
        <v>2</v>
      </c>
    </row>
    <row r="696" spans="1:3" ht="15">
      <c r="A696" s="69">
        <v>46229</v>
      </c>
      <c r="B696">
        <f t="shared" si="11"/>
        <v>7</v>
      </c>
      <c r="C696">
        <v>2</v>
      </c>
    </row>
    <row r="697" spans="1:3" ht="15">
      <c r="A697" s="69">
        <v>46230</v>
      </c>
      <c r="B697">
        <f t="shared" si="11"/>
        <v>1</v>
      </c>
      <c r="C697">
        <v>2</v>
      </c>
    </row>
    <row r="698" spans="1:3" ht="15">
      <c r="A698" s="69">
        <v>46231</v>
      </c>
      <c r="B698">
        <f t="shared" si="11"/>
        <v>2</v>
      </c>
      <c r="C698">
        <v>2</v>
      </c>
    </row>
    <row r="699" spans="1:3" ht="15">
      <c r="A699" s="69">
        <v>46232</v>
      </c>
      <c r="B699">
        <f t="shared" si="11"/>
        <v>3</v>
      </c>
      <c r="C699">
        <v>2</v>
      </c>
    </row>
    <row r="700" spans="1:3" ht="15">
      <c r="A700" s="69">
        <v>46233</v>
      </c>
      <c r="B700">
        <f t="shared" si="11"/>
        <v>4</v>
      </c>
      <c r="C700">
        <v>2</v>
      </c>
    </row>
    <row r="701" spans="1:3" ht="15">
      <c r="A701" s="69">
        <v>46234</v>
      </c>
      <c r="B701">
        <f t="shared" si="11"/>
        <v>5</v>
      </c>
      <c r="C701">
        <v>2</v>
      </c>
    </row>
    <row r="702" spans="1:3" ht="15">
      <c r="A702" s="69">
        <v>46235</v>
      </c>
      <c r="B702">
        <f t="shared" si="11"/>
        <v>6</v>
      </c>
      <c r="C702">
        <v>2</v>
      </c>
    </row>
    <row r="703" spans="1:3" ht="15">
      <c r="A703" s="69">
        <v>46236</v>
      </c>
      <c r="B703">
        <f t="shared" si="11"/>
        <v>7</v>
      </c>
      <c r="C703">
        <v>2</v>
      </c>
    </row>
    <row r="704" spans="1:3" ht="15">
      <c r="A704" s="69">
        <v>46237</v>
      </c>
      <c r="B704">
        <f t="shared" si="11"/>
        <v>1</v>
      </c>
      <c r="C704">
        <v>2</v>
      </c>
    </row>
    <row r="705" spans="1:3" ht="15">
      <c r="A705" s="69">
        <v>46238</v>
      </c>
      <c r="B705">
        <f t="shared" si="11"/>
        <v>2</v>
      </c>
      <c r="C705">
        <v>2</v>
      </c>
    </row>
    <row r="706" spans="1:3" ht="15">
      <c r="A706" s="69">
        <v>46239</v>
      </c>
      <c r="B706">
        <f t="shared" si="11"/>
        <v>3</v>
      </c>
      <c r="C706">
        <v>2</v>
      </c>
    </row>
    <row r="707" spans="1:3" ht="15">
      <c r="A707" s="69">
        <v>46240</v>
      </c>
      <c r="B707">
        <f t="shared" si="11"/>
        <v>4</v>
      </c>
      <c r="C707">
        <v>2</v>
      </c>
    </row>
    <row r="708" spans="1:3" ht="15">
      <c r="A708" s="69">
        <v>46241</v>
      </c>
      <c r="B708">
        <f t="shared" si="11"/>
        <v>5</v>
      </c>
      <c r="C708">
        <v>2</v>
      </c>
    </row>
    <row r="709" spans="1:3" ht="15">
      <c r="A709" s="69">
        <v>46242</v>
      </c>
      <c r="B709">
        <f t="shared" si="11"/>
        <v>6</v>
      </c>
      <c r="C709">
        <v>2</v>
      </c>
    </row>
    <row r="710" spans="1:3" ht="15">
      <c r="A710" s="69">
        <v>46243</v>
      </c>
      <c r="B710">
        <f t="shared" si="11"/>
        <v>7</v>
      </c>
      <c r="C710">
        <v>2</v>
      </c>
    </row>
    <row r="711" spans="1:3" ht="15">
      <c r="A711" s="69">
        <v>46244</v>
      </c>
      <c r="B711">
        <f t="shared" si="11"/>
        <v>1</v>
      </c>
      <c r="C711">
        <v>2</v>
      </c>
    </row>
    <row r="712" spans="1:3" ht="15">
      <c r="A712" s="69">
        <v>46245</v>
      </c>
      <c r="B712">
        <f t="shared" si="11"/>
        <v>2</v>
      </c>
      <c r="C712">
        <v>2</v>
      </c>
    </row>
    <row r="713" spans="1:3" ht="15">
      <c r="A713" s="69">
        <v>46246</v>
      </c>
      <c r="B713">
        <f t="shared" si="11"/>
        <v>3</v>
      </c>
      <c r="C713">
        <v>2</v>
      </c>
    </row>
    <row r="714" spans="1:3" ht="15">
      <c r="A714" s="69">
        <v>46247</v>
      </c>
      <c r="B714">
        <f t="shared" si="11"/>
        <v>4</v>
      </c>
      <c r="C714">
        <v>2</v>
      </c>
    </row>
    <row r="715" spans="1:3" ht="15">
      <c r="A715" s="69">
        <v>46248</v>
      </c>
      <c r="B715">
        <f t="shared" si="11"/>
        <v>5</v>
      </c>
      <c r="C715">
        <v>2</v>
      </c>
    </row>
    <row r="716" spans="1:3" ht="15">
      <c r="A716" s="69">
        <v>46249</v>
      </c>
      <c r="B716">
        <f t="shared" si="11"/>
        <v>6</v>
      </c>
      <c r="C716">
        <v>2</v>
      </c>
    </row>
    <row r="717" spans="1:3" ht="15">
      <c r="A717" s="69">
        <v>46250</v>
      </c>
      <c r="B717">
        <f t="shared" si="11"/>
        <v>7</v>
      </c>
      <c r="C717">
        <v>2</v>
      </c>
    </row>
    <row r="718" spans="1:3" ht="15">
      <c r="A718" s="69">
        <v>46251</v>
      </c>
      <c r="B718">
        <f t="shared" si="11"/>
        <v>1</v>
      </c>
      <c r="C718">
        <v>2</v>
      </c>
    </row>
    <row r="719" spans="1:3" ht="15">
      <c r="A719" s="69">
        <v>46252</v>
      </c>
      <c r="B719">
        <f t="shared" si="11"/>
        <v>2</v>
      </c>
      <c r="C719">
        <v>2</v>
      </c>
    </row>
    <row r="720" spans="1:3" ht="15">
      <c r="A720" s="69">
        <v>46253</v>
      </c>
      <c r="B720">
        <f t="shared" si="11"/>
        <v>3</v>
      </c>
      <c r="C720">
        <v>2</v>
      </c>
    </row>
    <row r="721" spans="1:3" ht="15">
      <c r="A721" s="69">
        <v>46254</v>
      </c>
      <c r="B721">
        <f t="shared" si="11"/>
        <v>4</v>
      </c>
      <c r="C721">
        <v>2</v>
      </c>
    </row>
    <row r="722" spans="1:3" ht="15">
      <c r="A722" s="69">
        <v>46255</v>
      </c>
      <c r="B722">
        <f t="shared" si="11"/>
        <v>5</v>
      </c>
      <c r="C722">
        <v>2</v>
      </c>
    </row>
    <row r="723" spans="1:3" ht="15">
      <c r="A723" s="69">
        <v>46256</v>
      </c>
      <c r="B723">
        <f t="shared" si="11"/>
        <v>6</v>
      </c>
      <c r="C723">
        <v>2</v>
      </c>
    </row>
    <row r="724" spans="1:3" ht="15">
      <c r="A724" s="69">
        <v>46257</v>
      </c>
      <c r="B724">
        <f t="shared" si="11"/>
        <v>7</v>
      </c>
      <c r="C724">
        <v>2</v>
      </c>
    </row>
    <row r="725" spans="1:3" ht="15">
      <c r="A725" s="69">
        <v>46258</v>
      </c>
      <c r="B725">
        <f t="shared" si="11"/>
        <v>1</v>
      </c>
      <c r="C725">
        <v>2</v>
      </c>
    </row>
    <row r="726" spans="1:3" ht="15">
      <c r="A726" s="69">
        <v>46259</v>
      </c>
      <c r="B726">
        <f t="shared" si="11"/>
        <v>2</v>
      </c>
      <c r="C726">
        <v>2</v>
      </c>
    </row>
    <row r="727" spans="1:3" ht="15">
      <c r="A727" s="69">
        <v>46260</v>
      </c>
      <c r="B727">
        <f t="shared" si="11"/>
        <v>3</v>
      </c>
      <c r="C727">
        <v>2</v>
      </c>
    </row>
    <row r="728" spans="1:3" ht="15">
      <c r="A728" s="69">
        <v>46261</v>
      </c>
      <c r="B728">
        <f t="shared" si="11"/>
        <v>4</v>
      </c>
      <c r="C728">
        <v>2</v>
      </c>
    </row>
    <row r="729" spans="1:3" ht="15">
      <c r="A729" s="69">
        <v>46262</v>
      </c>
      <c r="B729">
        <f t="shared" si="11"/>
        <v>5</v>
      </c>
      <c r="C729">
        <v>2</v>
      </c>
    </row>
    <row r="730" spans="1:3" ht="15">
      <c r="A730" s="69">
        <v>46263</v>
      </c>
      <c r="B730">
        <f t="shared" si="11"/>
        <v>6</v>
      </c>
      <c r="C730">
        <v>2</v>
      </c>
    </row>
    <row r="731" spans="1:3" ht="15">
      <c r="A731" s="69">
        <v>46264</v>
      </c>
      <c r="B731">
        <f t="shared" si="11"/>
        <v>7</v>
      </c>
      <c r="C731">
        <v>2</v>
      </c>
    </row>
    <row r="732" spans="1:3" ht="15">
      <c r="A732" s="69">
        <v>46265</v>
      </c>
      <c r="B732">
        <f t="shared" si="11"/>
        <v>1</v>
      </c>
      <c r="C732">
        <v>2</v>
      </c>
    </row>
    <row r="733" spans="1:3" ht="15">
      <c r="A733" s="69">
        <v>46266</v>
      </c>
      <c r="B733">
        <f t="shared" si="11"/>
        <v>2</v>
      </c>
      <c r="C733">
        <v>2</v>
      </c>
    </row>
    <row r="734" spans="1:3" ht="15">
      <c r="A734" s="69">
        <v>46267</v>
      </c>
      <c r="B734">
        <f t="shared" si="11"/>
        <v>3</v>
      </c>
      <c r="C734">
        <v>2</v>
      </c>
    </row>
    <row r="735" spans="1:3" ht="15">
      <c r="A735" s="69">
        <v>46268</v>
      </c>
      <c r="B735">
        <f t="shared" si="11"/>
        <v>4</v>
      </c>
      <c r="C735">
        <v>2</v>
      </c>
    </row>
    <row r="736" spans="1:3" ht="15">
      <c r="A736" s="69">
        <v>46269</v>
      </c>
      <c r="B736">
        <f t="shared" si="11"/>
        <v>5</v>
      </c>
      <c r="C736">
        <v>2</v>
      </c>
    </row>
    <row r="737" spans="1:3" ht="15">
      <c r="A737" s="69">
        <v>46270</v>
      </c>
      <c r="B737">
        <f t="shared" si="11"/>
        <v>6</v>
      </c>
      <c r="C737">
        <v>2</v>
      </c>
    </row>
    <row r="738" spans="1:3" ht="15">
      <c r="A738" s="69">
        <v>46271</v>
      </c>
      <c r="B738">
        <f t="shared" si="11"/>
        <v>7</v>
      </c>
      <c r="C738">
        <v>2</v>
      </c>
    </row>
    <row r="739" spans="1:3" ht="15">
      <c r="A739" s="69">
        <v>46272</v>
      </c>
      <c r="B739">
        <v>7</v>
      </c>
      <c r="C739">
        <v>2</v>
      </c>
    </row>
    <row r="740" spans="1:3" ht="15">
      <c r="A740" s="69">
        <v>46273</v>
      </c>
      <c r="B740">
        <f t="shared" si="11"/>
        <v>2</v>
      </c>
      <c r="C740">
        <v>2</v>
      </c>
    </row>
    <row r="741" spans="1:3" ht="15">
      <c r="A741" s="69">
        <v>46274</v>
      </c>
      <c r="B741">
        <f t="shared" si="11"/>
        <v>3</v>
      </c>
      <c r="C741">
        <v>2</v>
      </c>
    </row>
    <row r="742" spans="1:3" ht="15">
      <c r="A742" s="69">
        <v>46275</v>
      </c>
      <c r="B742">
        <f t="shared" si="11"/>
        <v>4</v>
      </c>
      <c r="C742">
        <v>2</v>
      </c>
    </row>
    <row r="743" spans="1:3" ht="15">
      <c r="A743" s="69">
        <v>46276</v>
      </c>
      <c r="B743">
        <f t="shared" si="11"/>
        <v>5</v>
      </c>
      <c r="C743">
        <v>2</v>
      </c>
    </row>
    <row r="744" spans="1:3" ht="15">
      <c r="A744" s="69">
        <v>46277</v>
      </c>
      <c r="B744">
        <f t="shared" si="11"/>
        <v>6</v>
      </c>
      <c r="C744">
        <v>2</v>
      </c>
    </row>
    <row r="745" spans="1:3" ht="15">
      <c r="A745" s="69">
        <v>46278</v>
      </c>
      <c r="B745">
        <f t="shared" si="11"/>
        <v>7</v>
      </c>
      <c r="C745">
        <v>2</v>
      </c>
    </row>
    <row r="746" spans="1:3" ht="15">
      <c r="A746" s="69">
        <v>46279</v>
      </c>
      <c r="B746">
        <f t="shared" si="11"/>
        <v>1</v>
      </c>
      <c r="C746">
        <v>2</v>
      </c>
    </row>
    <row r="747" spans="1:3" ht="15">
      <c r="A747" s="69">
        <v>46280</v>
      </c>
      <c r="B747">
        <f t="shared" si="11"/>
        <v>2</v>
      </c>
      <c r="C747">
        <v>2</v>
      </c>
    </row>
    <row r="748" spans="1:3" ht="15">
      <c r="A748" s="69">
        <v>46281</v>
      </c>
      <c r="B748">
        <f t="shared" si="11"/>
        <v>3</v>
      </c>
      <c r="C748">
        <v>2</v>
      </c>
    </row>
    <row r="749" spans="1:3" ht="15">
      <c r="A749" s="69">
        <v>46282</v>
      </c>
      <c r="B749">
        <f t="shared" si="11"/>
        <v>4</v>
      </c>
      <c r="C749">
        <v>2</v>
      </c>
    </row>
    <row r="750" spans="1:3" ht="15">
      <c r="A750" s="69">
        <v>46283</v>
      </c>
      <c r="B750">
        <f t="shared" si="11"/>
        <v>5</v>
      </c>
      <c r="C750">
        <v>2</v>
      </c>
    </row>
    <row r="751" spans="1:3" ht="15">
      <c r="A751" s="69">
        <v>46284</v>
      </c>
      <c r="B751">
        <f t="shared" si="11"/>
        <v>6</v>
      </c>
      <c r="C751">
        <v>2</v>
      </c>
    </row>
    <row r="752" spans="1:3" ht="15">
      <c r="A752" s="69">
        <v>46285</v>
      </c>
      <c r="B752">
        <f t="shared" si="11"/>
        <v>7</v>
      </c>
      <c r="C752">
        <v>2</v>
      </c>
    </row>
    <row r="753" spans="1:3" ht="15">
      <c r="A753" s="69">
        <v>46286</v>
      </c>
      <c r="B753">
        <f t="shared" si="11"/>
        <v>1</v>
      </c>
      <c r="C753">
        <v>2</v>
      </c>
    </row>
    <row r="754" spans="1:3" ht="15">
      <c r="A754" s="69">
        <v>46287</v>
      </c>
      <c r="B754">
        <f t="shared" si="11"/>
        <v>2</v>
      </c>
      <c r="C754">
        <v>2</v>
      </c>
    </row>
    <row r="755" spans="1:3" ht="15">
      <c r="A755" s="69">
        <v>46288</v>
      </c>
      <c r="B755">
        <f t="shared" si="11"/>
        <v>3</v>
      </c>
      <c r="C755">
        <v>2</v>
      </c>
    </row>
    <row r="756" spans="1:3" ht="15">
      <c r="A756" s="69">
        <v>46289</v>
      </c>
      <c r="B756">
        <f aca="true" t="shared" si="12" ref="B756:B818">WEEKDAY(A756,2)</f>
        <v>4</v>
      </c>
      <c r="C756">
        <v>2</v>
      </c>
    </row>
    <row r="757" spans="1:3" ht="15">
      <c r="A757" s="69">
        <v>46290</v>
      </c>
      <c r="B757">
        <f t="shared" si="12"/>
        <v>5</v>
      </c>
      <c r="C757">
        <v>2</v>
      </c>
    </row>
    <row r="758" spans="1:3" ht="15">
      <c r="A758" s="69">
        <v>46291</v>
      </c>
      <c r="B758">
        <f t="shared" si="12"/>
        <v>6</v>
      </c>
      <c r="C758">
        <v>2</v>
      </c>
    </row>
    <row r="759" spans="1:3" ht="15">
      <c r="A759" s="69">
        <v>46292</v>
      </c>
      <c r="B759">
        <f t="shared" si="12"/>
        <v>7</v>
      </c>
      <c r="C759">
        <v>2</v>
      </c>
    </row>
    <row r="760" spans="1:3" ht="15">
      <c r="A760" s="69">
        <v>46293</v>
      </c>
      <c r="B760">
        <f t="shared" si="12"/>
        <v>1</v>
      </c>
      <c r="C760">
        <v>2</v>
      </c>
    </row>
    <row r="761" spans="1:3" ht="15">
      <c r="A761" s="69">
        <v>46294</v>
      </c>
      <c r="B761">
        <f t="shared" si="12"/>
        <v>2</v>
      </c>
      <c r="C761">
        <v>2</v>
      </c>
    </row>
    <row r="762" spans="1:3" ht="15">
      <c r="A762" s="69">
        <v>46295</v>
      </c>
      <c r="B762">
        <f t="shared" si="12"/>
        <v>3</v>
      </c>
      <c r="C762">
        <v>2</v>
      </c>
    </row>
    <row r="763" spans="1:3" ht="15">
      <c r="A763" s="69">
        <v>46296</v>
      </c>
      <c r="B763">
        <f t="shared" si="12"/>
        <v>4</v>
      </c>
      <c r="C763">
        <v>2</v>
      </c>
    </row>
    <row r="764" spans="1:3" ht="15">
      <c r="A764" s="69">
        <v>46297</v>
      </c>
      <c r="B764">
        <f t="shared" si="12"/>
        <v>5</v>
      </c>
      <c r="C764">
        <v>2</v>
      </c>
    </row>
    <row r="765" spans="1:3" ht="15">
      <c r="A765" s="69">
        <v>46298</v>
      </c>
      <c r="B765">
        <f t="shared" si="12"/>
        <v>6</v>
      </c>
      <c r="C765">
        <v>2</v>
      </c>
    </row>
    <row r="766" spans="1:3" ht="15">
      <c r="A766" s="69">
        <v>46299</v>
      </c>
      <c r="B766">
        <f t="shared" si="12"/>
        <v>7</v>
      </c>
      <c r="C766">
        <v>2</v>
      </c>
    </row>
    <row r="767" spans="1:3" ht="15">
      <c r="A767" s="69">
        <v>46300</v>
      </c>
      <c r="B767">
        <f t="shared" si="12"/>
        <v>1</v>
      </c>
      <c r="C767">
        <v>2</v>
      </c>
    </row>
    <row r="768" spans="1:3" ht="15">
      <c r="A768" s="69">
        <v>46301</v>
      </c>
      <c r="B768">
        <f t="shared" si="12"/>
        <v>2</v>
      </c>
      <c r="C768">
        <v>2</v>
      </c>
    </row>
    <row r="769" spans="1:3" ht="15">
      <c r="A769" s="69">
        <v>46302</v>
      </c>
      <c r="B769">
        <f t="shared" si="12"/>
        <v>3</v>
      </c>
      <c r="C769">
        <v>2</v>
      </c>
    </row>
    <row r="770" spans="1:3" ht="15">
      <c r="A770" s="69">
        <v>46303</v>
      </c>
      <c r="B770">
        <f t="shared" si="12"/>
        <v>4</v>
      </c>
      <c r="C770">
        <v>2</v>
      </c>
    </row>
    <row r="771" spans="1:3" ht="15">
      <c r="A771" s="69">
        <v>46304</v>
      </c>
      <c r="B771">
        <f t="shared" si="12"/>
        <v>5</v>
      </c>
      <c r="C771">
        <v>2</v>
      </c>
    </row>
    <row r="772" spans="1:3" ht="15">
      <c r="A772" s="69">
        <v>46305</v>
      </c>
      <c r="B772">
        <f t="shared" si="12"/>
        <v>6</v>
      </c>
      <c r="C772">
        <v>2</v>
      </c>
    </row>
    <row r="773" spans="1:3" ht="15">
      <c r="A773" s="69">
        <v>46306</v>
      </c>
      <c r="B773">
        <f t="shared" si="12"/>
        <v>7</v>
      </c>
      <c r="C773">
        <v>2</v>
      </c>
    </row>
    <row r="774" spans="1:3" ht="15">
      <c r="A774" s="69">
        <v>46307</v>
      </c>
      <c r="B774">
        <f t="shared" si="12"/>
        <v>1</v>
      </c>
      <c r="C774">
        <v>2</v>
      </c>
    </row>
    <row r="775" spans="1:3" ht="15">
      <c r="A775" s="69">
        <v>46308</v>
      </c>
      <c r="B775">
        <f t="shared" si="12"/>
        <v>2</v>
      </c>
      <c r="C775">
        <v>2</v>
      </c>
    </row>
    <row r="776" spans="1:3" ht="15">
      <c r="A776" s="69">
        <v>46309</v>
      </c>
      <c r="B776">
        <f t="shared" si="12"/>
        <v>3</v>
      </c>
      <c r="C776">
        <v>2</v>
      </c>
    </row>
    <row r="777" spans="1:3" ht="15">
      <c r="A777" s="69">
        <v>46310</v>
      </c>
      <c r="B777">
        <f t="shared" si="12"/>
        <v>4</v>
      </c>
      <c r="C777">
        <v>2</v>
      </c>
    </row>
    <row r="778" spans="1:3" ht="15">
      <c r="A778" s="69">
        <v>46311</v>
      </c>
      <c r="B778">
        <f t="shared" si="12"/>
        <v>5</v>
      </c>
      <c r="C778">
        <v>2</v>
      </c>
    </row>
    <row r="779" spans="1:3" ht="15">
      <c r="A779" s="69">
        <v>46312</v>
      </c>
      <c r="B779">
        <f t="shared" si="12"/>
        <v>6</v>
      </c>
      <c r="C779">
        <v>2</v>
      </c>
    </row>
    <row r="780" spans="1:3" ht="15">
      <c r="A780" s="69">
        <v>46313</v>
      </c>
      <c r="B780">
        <f t="shared" si="12"/>
        <v>7</v>
      </c>
      <c r="C780">
        <v>2</v>
      </c>
    </row>
    <row r="781" spans="1:3" ht="15">
      <c r="A781" s="69">
        <v>46314</v>
      </c>
      <c r="B781">
        <f t="shared" si="12"/>
        <v>1</v>
      </c>
      <c r="C781">
        <v>2</v>
      </c>
    </row>
    <row r="782" spans="1:3" ht="15">
      <c r="A782" s="69">
        <v>46315</v>
      </c>
      <c r="B782">
        <f t="shared" si="12"/>
        <v>2</v>
      </c>
      <c r="C782">
        <v>2</v>
      </c>
    </row>
    <row r="783" spans="1:3" ht="15">
      <c r="A783" s="69">
        <v>46316</v>
      </c>
      <c r="B783">
        <f t="shared" si="12"/>
        <v>3</v>
      </c>
      <c r="C783">
        <v>2</v>
      </c>
    </row>
    <row r="784" spans="1:3" ht="15">
      <c r="A784" s="69">
        <v>46317</v>
      </c>
      <c r="B784">
        <f t="shared" si="12"/>
        <v>4</v>
      </c>
      <c r="C784">
        <v>2</v>
      </c>
    </row>
    <row r="785" spans="1:3" ht="15">
      <c r="A785" s="69">
        <v>46318</v>
      </c>
      <c r="B785">
        <f t="shared" si="12"/>
        <v>5</v>
      </c>
      <c r="C785">
        <v>2</v>
      </c>
    </row>
    <row r="786" spans="1:3" ht="15">
      <c r="A786" s="69">
        <v>46319</v>
      </c>
      <c r="B786">
        <f t="shared" si="12"/>
        <v>6</v>
      </c>
      <c r="C786">
        <v>2</v>
      </c>
    </row>
    <row r="787" spans="1:3" ht="15">
      <c r="A787" s="69">
        <v>46320</v>
      </c>
      <c r="B787">
        <f t="shared" si="12"/>
        <v>7</v>
      </c>
      <c r="C787">
        <v>2</v>
      </c>
    </row>
    <row r="788" spans="1:3" ht="15">
      <c r="A788" s="69">
        <v>46321</v>
      </c>
      <c r="B788">
        <f t="shared" si="12"/>
        <v>1</v>
      </c>
      <c r="C788">
        <v>2</v>
      </c>
    </row>
    <row r="789" spans="1:3" ht="15">
      <c r="A789" s="69">
        <v>46322</v>
      </c>
      <c r="B789">
        <f t="shared" si="12"/>
        <v>2</v>
      </c>
      <c r="C789">
        <v>2</v>
      </c>
    </row>
    <row r="790" spans="1:3" ht="15">
      <c r="A790" s="69">
        <v>46323</v>
      </c>
      <c r="B790">
        <f t="shared" si="12"/>
        <v>3</v>
      </c>
      <c r="C790">
        <v>2</v>
      </c>
    </row>
    <row r="791" spans="1:3" ht="15">
      <c r="A791" s="69">
        <v>46324</v>
      </c>
      <c r="B791">
        <f t="shared" si="12"/>
        <v>4</v>
      </c>
      <c r="C791">
        <v>2</v>
      </c>
    </row>
    <row r="792" spans="1:3" ht="15">
      <c r="A792" s="69">
        <v>46325</v>
      </c>
      <c r="B792">
        <f t="shared" si="12"/>
        <v>5</v>
      </c>
      <c r="C792">
        <v>2</v>
      </c>
    </row>
    <row r="793" spans="1:3" ht="15">
      <c r="A793" s="69">
        <v>46326</v>
      </c>
      <c r="B793">
        <f t="shared" si="12"/>
        <v>6</v>
      </c>
      <c r="C793">
        <v>2</v>
      </c>
    </row>
    <row r="794" spans="1:3" ht="15">
      <c r="A794" s="69">
        <v>46327</v>
      </c>
      <c r="B794">
        <f t="shared" si="12"/>
        <v>7</v>
      </c>
      <c r="C794">
        <v>2</v>
      </c>
    </row>
    <row r="795" spans="1:3" ht="15">
      <c r="A795" s="69">
        <v>46328</v>
      </c>
      <c r="B795">
        <f t="shared" si="12"/>
        <v>1</v>
      </c>
      <c r="C795">
        <v>2</v>
      </c>
    </row>
    <row r="796" spans="1:3" ht="15">
      <c r="A796" s="69">
        <v>46329</v>
      </c>
      <c r="B796">
        <f t="shared" si="12"/>
        <v>2</v>
      </c>
      <c r="C796">
        <v>2</v>
      </c>
    </row>
    <row r="797" spans="1:3" ht="15">
      <c r="A797" s="69">
        <v>46330</v>
      </c>
      <c r="B797">
        <f t="shared" si="12"/>
        <v>3</v>
      </c>
      <c r="C797">
        <v>2</v>
      </c>
    </row>
    <row r="798" spans="1:3" ht="15">
      <c r="A798" s="69">
        <v>46331</v>
      </c>
      <c r="B798">
        <f t="shared" si="12"/>
        <v>4</v>
      </c>
      <c r="C798">
        <v>2</v>
      </c>
    </row>
    <row r="799" spans="1:3" ht="15">
      <c r="A799" s="69">
        <v>46332</v>
      </c>
      <c r="B799">
        <f t="shared" si="12"/>
        <v>5</v>
      </c>
      <c r="C799">
        <v>2</v>
      </c>
    </row>
    <row r="800" spans="1:3" ht="15">
      <c r="A800" s="69">
        <v>46333</v>
      </c>
      <c r="B800">
        <f t="shared" si="12"/>
        <v>6</v>
      </c>
      <c r="C800">
        <v>2</v>
      </c>
    </row>
    <row r="801" spans="1:3" ht="15">
      <c r="A801" s="69">
        <v>46334</v>
      </c>
      <c r="B801">
        <f t="shared" si="12"/>
        <v>7</v>
      </c>
      <c r="C801">
        <v>2</v>
      </c>
    </row>
    <row r="802" spans="1:3" ht="15">
      <c r="A802" s="69">
        <v>46335</v>
      </c>
      <c r="B802">
        <f t="shared" si="12"/>
        <v>1</v>
      </c>
      <c r="C802">
        <v>2</v>
      </c>
    </row>
    <row r="803" spans="1:3" ht="15">
      <c r="A803" s="69">
        <v>46336</v>
      </c>
      <c r="B803">
        <f t="shared" si="12"/>
        <v>2</v>
      </c>
      <c r="C803">
        <v>2</v>
      </c>
    </row>
    <row r="804" spans="1:3" ht="15">
      <c r="A804" s="69">
        <v>46337</v>
      </c>
      <c r="B804">
        <f t="shared" si="12"/>
        <v>3</v>
      </c>
      <c r="C804">
        <v>2</v>
      </c>
    </row>
    <row r="805" spans="1:3" ht="15">
      <c r="A805" s="69">
        <v>46338</v>
      </c>
      <c r="B805">
        <f t="shared" si="12"/>
        <v>4</v>
      </c>
      <c r="C805">
        <v>2</v>
      </c>
    </row>
    <row r="806" spans="1:3" ht="15">
      <c r="A806" s="69">
        <v>46339</v>
      </c>
      <c r="B806">
        <f t="shared" si="12"/>
        <v>5</v>
      </c>
      <c r="C806">
        <v>2</v>
      </c>
    </row>
    <row r="807" spans="1:3" ht="15">
      <c r="A807" s="69">
        <v>46340</v>
      </c>
      <c r="B807">
        <f t="shared" si="12"/>
        <v>6</v>
      </c>
      <c r="C807">
        <v>2</v>
      </c>
    </row>
    <row r="808" spans="1:3" ht="15">
      <c r="A808" s="69">
        <v>46341</v>
      </c>
      <c r="B808">
        <f t="shared" si="12"/>
        <v>7</v>
      </c>
      <c r="C808">
        <v>2</v>
      </c>
    </row>
    <row r="809" spans="1:3" ht="15">
      <c r="A809" s="69">
        <v>46342</v>
      </c>
      <c r="B809">
        <f t="shared" si="12"/>
        <v>1</v>
      </c>
      <c r="C809">
        <v>2</v>
      </c>
    </row>
    <row r="810" spans="1:3" ht="15">
      <c r="A810" s="69">
        <v>46343</v>
      </c>
      <c r="B810">
        <f t="shared" si="12"/>
        <v>2</v>
      </c>
      <c r="C810">
        <v>2</v>
      </c>
    </row>
    <row r="811" spans="1:3" ht="15">
      <c r="A811" s="69">
        <v>46344</v>
      </c>
      <c r="B811">
        <f t="shared" si="12"/>
        <v>3</v>
      </c>
      <c r="C811">
        <v>2</v>
      </c>
    </row>
    <row r="812" spans="1:3" ht="15">
      <c r="A812" s="69">
        <v>46345</v>
      </c>
      <c r="B812">
        <f t="shared" si="12"/>
        <v>4</v>
      </c>
      <c r="C812">
        <v>2</v>
      </c>
    </row>
    <row r="813" spans="1:3" ht="15">
      <c r="A813" s="69">
        <v>46346</v>
      </c>
      <c r="B813">
        <f t="shared" si="12"/>
        <v>5</v>
      </c>
      <c r="C813">
        <v>2</v>
      </c>
    </row>
    <row r="814" spans="1:3" ht="15">
      <c r="A814" s="69">
        <v>46347</v>
      </c>
      <c r="B814">
        <f t="shared" si="12"/>
        <v>6</v>
      </c>
      <c r="C814">
        <v>2</v>
      </c>
    </row>
    <row r="815" spans="1:3" ht="15">
      <c r="A815" s="69">
        <v>46348</v>
      </c>
      <c r="B815">
        <f t="shared" si="12"/>
        <v>7</v>
      </c>
      <c r="C815">
        <v>2</v>
      </c>
    </row>
    <row r="816" spans="1:3" ht="15">
      <c r="A816" s="69">
        <v>46349</v>
      </c>
      <c r="B816">
        <f t="shared" si="12"/>
        <v>1</v>
      </c>
      <c r="C816">
        <v>2</v>
      </c>
    </row>
    <row r="817" spans="1:3" ht="15">
      <c r="A817" s="69">
        <v>46350</v>
      </c>
      <c r="B817">
        <f t="shared" si="12"/>
        <v>2</v>
      </c>
      <c r="C817">
        <v>2</v>
      </c>
    </row>
    <row r="818" spans="1:3" ht="15">
      <c r="A818" s="69">
        <v>46351</v>
      </c>
      <c r="B818">
        <f t="shared" si="12"/>
        <v>3</v>
      </c>
      <c r="C818">
        <v>2</v>
      </c>
    </row>
    <row r="819" spans="1:3" ht="15">
      <c r="A819" s="69">
        <v>46352</v>
      </c>
      <c r="B819">
        <v>7</v>
      </c>
      <c r="C819">
        <v>2</v>
      </c>
    </row>
    <row r="820" spans="1:3" ht="15">
      <c r="A820" s="69">
        <v>46353</v>
      </c>
      <c r="B820">
        <f aca="true" t="shared" si="13" ref="B820:B854">WEEKDAY(A820,2)</f>
        <v>5</v>
      </c>
      <c r="C820">
        <v>2</v>
      </c>
    </row>
    <row r="821" spans="1:3" ht="15">
      <c r="A821" s="69">
        <v>46354</v>
      </c>
      <c r="B821">
        <f t="shared" si="13"/>
        <v>6</v>
      </c>
      <c r="C821">
        <v>2</v>
      </c>
    </row>
    <row r="822" spans="1:3" ht="15">
      <c r="A822" s="69">
        <v>46355</v>
      </c>
      <c r="B822">
        <f t="shared" si="13"/>
        <v>7</v>
      </c>
      <c r="C822">
        <v>2</v>
      </c>
    </row>
    <row r="823" spans="1:3" ht="15">
      <c r="A823" s="69">
        <v>46356</v>
      </c>
      <c r="B823">
        <f t="shared" si="13"/>
        <v>1</v>
      </c>
      <c r="C823">
        <v>2</v>
      </c>
    </row>
    <row r="824" spans="1:3" ht="15">
      <c r="A824" s="69">
        <v>46357</v>
      </c>
      <c r="B824">
        <f t="shared" si="13"/>
        <v>2</v>
      </c>
      <c r="C824">
        <v>2</v>
      </c>
    </row>
    <row r="825" spans="1:3" ht="15">
      <c r="A825" s="69">
        <v>46358</v>
      </c>
      <c r="B825">
        <f t="shared" si="13"/>
        <v>3</v>
      </c>
      <c r="C825">
        <v>2</v>
      </c>
    </row>
    <row r="826" spans="1:3" ht="15">
      <c r="A826" s="69">
        <v>46359</v>
      </c>
      <c r="B826">
        <f t="shared" si="13"/>
        <v>4</v>
      </c>
      <c r="C826">
        <v>2</v>
      </c>
    </row>
    <row r="827" spans="1:3" ht="15">
      <c r="A827" s="69">
        <v>46360</v>
      </c>
      <c r="B827">
        <f t="shared" si="13"/>
        <v>5</v>
      </c>
      <c r="C827">
        <v>2</v>
      </c>
    </row>
    <row r="828" spans="1:3" ht="15">
      <c r="A828" s="69">
        <v>46361</v>
      </c>
      <c r="B828">
        <f t="shared" si="13"/>
        <v>6</v>
      </c>
      <c r="C828">
        <v>2</v>
      </c>
    </row>
    <row r="829" spans="1:3" ht="15">
      <c r="A829" s="69">
        <v>46362</v>
      </c>
      <c r="B829">
        <f t="shared" si="13"/>
        <v>7</v>
      </c>
      <c r="C829">
        <v>2</v>
      </c>
    </row>
    <row r="830" spans="1:3" ht="15">
      <c r="A830" s="69">
        <v>46363</v>
      </c>
      <c r="B830">
        <f t="shared" si="13"/>
        <v>1</v>
      </c>
      <c r="C830">
        <v>2</v>
      </c>
    </row>
    <row r="831" spans="1:3" ht="15">
      <c r="A831" s="69">
        <v>46364</v>
      </c>
      <c r="B831">
        <f t="shared" si="13"/>
        <v>2</v>
      </c>
      <c r="C831">
        <v>2</v>
      </c>
    </row>
    <row r="832" spans="1:3" ht="15">
      <c r="A832" s="69">
        <v>46365</v>
      </c>
      <c r="B832">
        <f t="shared" si="13"/>
        <v>3</v>
      </c>
      <c r="C832">
        <v>2</v>
      </c>
    </row>
    <row r="833" spans="1:3" ht="15">
      <c r="A833" s="69">
        <v>46366</v>
      </c>
      <c r="B833">
        <f t="shared" si="13"/>
        <v>4</v>
      </c>
      <c r="C833">
        <v>2</v>
      </c>
    </row>
    <row r="834" spans="1:3" ht="15">
      <c r="A834" s="69">
        <v>46367</v>
      </c>
      <c r="B834">
        <f t="shared" si="13"/>
        <v>5</v>
      </c>
      <c r="C834">
        <v>2</v>
      </c>
    </row>
    <row r="835" spans="1:3" ht="15">
      <c r="A835" s="69">
        <v>46368</v>
      </c>
      <c r="B835">
        <f t="shared" si="13"/>
        <v>6</v>
      </c>
      <c r="C835">
        <v>2</v>
      </c>
    </row>
    <row r="836" spans="1:3" ht="15">
      <c r="A836" s="69">
        <v>46369</v>
      </c>
      <c r="B836">
        <f t="shared" si="13"/>
        <v>7</v>
      </c>
      <c r="C836">
        <v>2</v>
      </c>
    </row>
    <row r="837" spans="1:3" ht="15">
      <c r="A837" s="69">
        <v>46370</v>
      </c>
      <c r="B837">
        <f t="shared" si="13"/>
        <v>1</v>
      </c>
      <c r="C837">
        <v>2</v>
      </c>
    </row>
    <row r="838" spans="1:3" ht="15">
      <c r="A838" s="69">
        <v>46371</v>
      </c>
      <c r="B838">
        <f t="shared" si="13"/>
        <v>2</v>
      </c>
      <c r="C838">
        <v>2</v>
      </c>
    </row>
    <row r="839" spans="1:3" ht="15">
      <c r="A839" s="69">
        <v>46372</v>
      </c>
      <c r="B839">
        <f t="shared" si="13"/>
        <v>3</v>
      </c>
      <c r="C839">
        <v>2</v>
      </c>
    </row>
    <row r="840" spans="1:3" ht="15">
      <c r="A840" s="69">
        <v>46373</v>
      </c>
      <c r="B840">
        <f t="shared" si="13"/>
        <v>4</v>
      </c>
      <c r="C840">
        <v>2</v>
      </c>
    </row>
    <row r="841" spans="1:3" ht="15">
      <c r="A841" s="69">
        <v>46374</v>
      </c>
      <c r="B841">
        <f t="shared" si="13"/>
        <v>5</v>
      </c>
      <c r="C841">
        <v>2</v>
      </c>
    </row>
    <row r="842" spans="1:3" ht="15">
      <c r="A842" s="69">
        <v>46375</v>
      </c>
      <c r="B842">
        <f t="shared" si="13"/>
        <v>6</v>
      </c>
      <c r="C842">
        <v>2</v>
      </c>
    </row>
    <row r="843" spans="1:3" ht="15">
      <c r="A843" s="69">
        <v>46376</v>
      </c>
      <c r="B843">
        <f t="shared" si="13"/>
        <v>7</v>
      </c>
      <c r="C843">
        <v>2</v>
      </c>
    </row>
    <row r="844" spans="1:3" ht="15">
      <c r="A844" s="69">
        <v>46377</v>
      </c>
      <c r="B844">
        <f t="shared" si="13"/>
        <v>1</v>
      </c>
      <c r="C844">
        <v>2</v>
      </c>
    </row>
    <row r="845" spans="1:3" ht="15">
      <c r="A845" s="69">
        <v>46378</v>
      </c>
      <c r="B845">
        <f t="shared" si="13"/>
        <v>2</v>
      </c>
      <c r="C845">
        <v>2</v>
      </c>
    </row>
    <row r="846" spans="1:3" ht="15">
      <c r="A846" s="69">
        <v>46379</v>
      </c>
      <c r="B846">
        <f t="shared" si="13"/>
        <v>3</v>
      </c>
      <c r="C846">
        <v>2</v>
      </c>
    </row>
    <row r="847" spans="1:3" ht="15">
      <c r="A847" s="69">
        <v>46380</v>
      </c>
      <c r="B847">
        <f t="shared" si="13"/>
        <v>4</v>
      </c>
      <c r="C847">
        <v>2</v>
      </c>
    </row>
    <row r="848" spans="1:3" ht="15">
      <c r="A848" s="69">
        <v>46381</v>
      </c>
      <c r="B848">
        <v>7</v>
      </c>
      <c r="C848">
        <v>2</v>
      </c>
    </row>
    <row r="849" spans="1:3" ht="15">
      <c r="A849" s="69">
        <v>46382</v>
      </c>
      <c r="B849">
        <f t="shared" si="13"/>
        <v>6</v>
      </c>
      <c r="C849">
        <v>2</v>
      </c>
    </row>
    <row r="850" spans="1:3" ht="15">
      <c r="A850" s="69">
        <v>46383</v>
      </c>
      <c r="B850">
        <f t="shared" si="13"/>
        <v>7</v>
      </c>
      <c r="C850">
        <v>2</v>
      </c>
    </row>
    <row r="851" spans="1:3" ht="15">
      <c r="A851" s="69">
        <v>46384</v>
      </c>
      <c r="B851">
        <f t="shared" si="13"/>
        <v>1</v>
      </c>
      <c r="C851">
        <v>2</v>
      </c>
    </row>
    <row r="852" spans="1:3" ht="15">
      <c r="A852" s="69">
        <v>46385</v>
      </c>
      <c r="B852">
        <f t="shared" si="13"/>
        <v>2</v>
      </c>
      <c r="C852">
        <v>2</v>
      </c>
    </row>
    <row r="853" spans="1:3" ht="15">
      <c r="A853" s="69">
        <v>46386</v>
      </c>
      <c r="B853">
        <f t="shared" si="13"/>
        <v>3</v>
      </c>
      <c r="C853">
        <v>2</v>
      </c>
    </row>
    <row r="854" spans="1:3" ht="15">
      <c r="A854" s="69">
        <v>46387</v>
      </c>
      <c r="B854">
        <f t="shared" si="13"/>
        <v>4</v>
      </c>
      <c r="C854">
        <v>2</v>
      </c>
    </row>
    <row r="855" ht="15">
      <c r="A855" s="69"/>
    </row>
    <row r="856" ht="15">
      <c r="A856" s="69"/>
    </row>
  </sheetData>
  <autoFilter ref="A1:C856"/>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6780B-F8B1-482E-A3C8-3529828F2E25}">
  <sheetPr>
    <tabColor rgb="FFFFFF00"/>
  </sheetPr>
  <dimension ref="A1:R106"/>
  <sheetViews>
    <sheetView tabSelected="1" workbookViewId="0" topLeftCell="A34">
      <selection activeCell="M46" sqref="M46"/>
    </sheetView>
  </sheetViews>
  <sheetFormatPr defaultColWidth="9.140625" defaultRowHeight="15"/>
  <cols>
    <col min="1" max="1" width="20.140625" style="10" customWidth="1"/>
    <col min="2" max="2" width="12.28125" style="10" customWidth="1"/>
    <col min="3" max="5" width="15.7109375" style="10" customWidth="1"/>
    <col min="6" max="6" width="20.140625" style="10" customWidth="1"/>
    <col min="7" max="8" width="18.57421875" style="10" customWidth="1"/>
    <col min="9" max="11" width="9.140625" style="10" customWidth="1"/>
    <col min="12" max="12" width="9.57421875" style="10" bestFit="1" customWidth="1"/>
    <col min="13" max="13" width="9.8515625" style="10" bestFit="1" customWidth="1"/>
    <col min="14" max="14" width="9.140625" style="10" customWidth="1"/>
    <col min="15" max="15" width="12.00390625" style="10" bestFit="1" customWidth="1"/>
    <col min="16" max="16384" width="9.140625" style="10" customWidth="1"/>
  </cols>
  <sheetData>
    <row r="1" spans="1:8" ht="17.25" customHeight="1">
      <c r="A1" s="8" t="s">
        <v>149</v>
      </c>
      <c r="B1" s="9"/>
      <c r="C1" s="9"/>
      <c r="D1" s="9"/>
      <c r="E1" s="9"/>
      <c r="F1" s="9"/>
      <c r="G1" s="9"/>
      <c r="H1" s="216"/>
    </row>
    <row r="2" spans="1:8" ht="14.25">
      <c r="A2" s="11"/>
      <c r="B2" s="9"/>
      <c r="C2" s="9"/>
      <c r="D2" s="9"/>
      <c r="E2" s="9"/>
      <c r="F2" s="9"/>
      <c r="G2" s="9"/>
      <c r="H2" s="12"/>
    </row>
    <row r="3" spans="1:8" ht="18" customHeight="1">
      <c r="A3" s="13" t="s">
        <v>95</v>
      </c>
      <c r="B3" s="14"/>
      <c r="C3" s="15"/>
      <c r="D3" s="15"/>
      <c r="E3" s="15"/>
      <c r="F3" s="15"/>
      <c r="G3" s="16"/>
      <c r="H3" s="12"/>
    </row>
    <row r="4" spans="1:8" ht="18" customHeight="1">
      <c r="A4" s="17" t="s">
        <v>96</v>
      </c>
      <c r="B4" s="18"/>
      <c r="C4" s="9"/>
      <c r="D4" s="9"/>
      <c r="E4" s="9"/>
      <c r="F4" s="9"/>
      <c r="G4" s="19"/>
      <c r="H4" s="12"/>
    </row>
    <row r="5" spans="1:7" ht="18" customHeight="1">
      <c r="A5" s="20" t="s">
        <v>97</v>
      </c>
      <c r="B5" s="21"/>
      <c r="C5" s="21"/>
      <c r="D5" s="21"/>
      <c r="E5" s="21"/>
      <c r="F5" s="21"/>
      <c r="G5" s="22"/>
    </row>
    <row r="6" spans="1:7" ht="18" customHeight="1">
      <c r="A6" s="20" t="s">
        <v>98</v>
      </c>
      <c r="B6" s="21"/>
      <c r="C6" s="21"/>
      <c r="D6" s="21"/>
      <c r="E6" s="21"/>
      <c r="F6" s="21"/>
      <c r="G6" s="22"/>
    </row>
    <row r="7" spans="1:7" ht="18" customHeight="1">
      <c r="A7" s="20" t="s">
        <v>99</v>
      </c>
      <c r="B7" s="23">
        <v>45252</v>
      </c>
      <c r="C7" s="21"/>
      <c r="D7" s="21"/>
      <c r="E7" s="21"/>
      <c r="F7" s="21"/>
      <c r="G7" s="22"/>
    </row>
    <row r="8" spans="1:7" ht="18" customHeight="1">
      <c r="A8" s="20" t="s">
        <v>100</v>
      </c>
      <c r="B8" s="21"/>
      <c r="C8" s="21"/>
      <c r="D8" s="21"/>
      <c r="E8" s="21"/>
      <c r="F8" s="21"/>
      <c r="G8" s="22"/>
    </row>
    <row r="9" spans="1:7" ht="18" customHeight="1">
      <c r="A9" s="24" t="s">
        <v>101</v>
      </c>
      <c r="B9" s="25"/>
      <c r="C9" s="26"/>
      <c r="D9" s="26"/>
      <c r="E9" s="26"/>
      <c r="F9" s="26"/>
      <c r="G9" s="27"/>
    </row>
    <row r="10" spans="1:7" ht="18" customHeight="1">
      <c r="A10" s="21"/>
      <c r="C10" s="21"/>
      <c r="D10" s="21"/>
      <c r="E10" s="21"/>
      <c r="F10" s="21"/>
      <c r="G10" s="21"/>
    </row>
    <row r="11" spans="1:7" ht="18" customHeight="1">
      <c r="A11" s="28" t="s">
        <v>102</v>
      </c>
      <c r="C11" s="21"/>
      <c r="D11" s="21"/>
      <c r="E11" s="21"/>
      <c r="F11" s="21"/>
      <c r="G11" s="21"/>
    </row>
    <row r="12" spans="1:7" ht="18" customHeight="1">
      <c r="A12" s="244" t="s">
        <v>103</v>
      </c>
      <c r="B12" s="245"/>
      <c r="C12" s="245"/>
      <c r="D12" s="245"/>
      <c r="E12" s="245"/>
      <c r="F12" s="245"/>
      <c r="G12" s="246"/>
    </row>
    <row r="13" spans="1:7" ht="72.75" customHeight="1">
      <c r="A13" s="247"/>
      <c r="B13" s="248"/>
      <c r="C13" s="248"/>
      <c r="D13" s="248"/>
      <c r="E13" s="248"/>
      <c r="F13" s="248"/>
      <c r="G13" s="249"/>
    </row>
    <row r="14" spans="1:7" ht="72.75" customHeight="1">
      <c r="A14" s="29"/>
      <c r="B14" s="29"/>
      <c r="C14" s="29"/>
      <c r="D14" s="29"/>
      <c r="E14" s="29"/>
      <c r="F14" s="29"/>
      <c r="G14" s="29"/>
    </row>
    <row r="15" spans="1:7" ht="18" customHeight="1" thickBot="1">
      <c r="A15" s="28" t="s">
        <v>104</v>
      </c>
      <c r="B15" s="21"/>
      <c r="C15" s="21"/>
      <c r="D15" s="21"/>
      <c r="E15" s="21"/>
      <c r="F15" s="21"/>
      <c r="G15" s="21"/>
    </row>
    <row r="16" spans="1:9" ht="28.5">
      <c r="A16" s="30" t="s">
        <v>105</v>
      </c>
      <c r="B16" s="31"/>
      <c r="C16" s="32" t="s">
        <v>106</v>
      </c>
      <c r="D16" s="32" t="s">
        <v>107</v>
      </c>
      <c r="E16" s="33" t="s">
        <v>74</v>
      </c>
      <c r="F16" s="33">
        <v>2025</v>
      </c>
      <c r="G16" s="33" t="s">
        <v>77</v>
      </c>
      <c r="H16" s="186" t="s">
        <v>79</v>
      </c>
      <c r="I16" s="18"/>
    </row>
    <row r="17" spans="1:8" ht="18" customHeight="1">
      <c r="A17" s="34" t="s">
        <v>108</v>
      </c>
      <c r="B17" s="35"/>
      <c r="C17" s="36">
        <v>4640</v>
      </c>
      <c r="D17" s="36" t="s">
        <v>109</v>
      </c>
      <c r="E17" s="76">
        <f>(SUM(E42:E45)*E56*20)+(SUM(F42:F45)*F56*20)</f>
        <v>341333.3270338586</v>
      </c>
      <c r="F17" s="76">
        <f>(SUM(G42:G45)*G56*20)</f>
        <v>1025346.96</v>
      </c>
      <c r="G17" s="195">
        <f>(SUM(H42:H45)*H56*20)+(SUM(I42:I45)*I56*20)</f>
        <v>2222549.7999999993</v>
      </c>
      <c r="H17" s="187">
        <f>(SUM(J42:J45)*J56*20)+(SUM(K42:K45)*K56*20)</f>
        <v>2443853.9599999995</v>
      </c>
    </row>
    <row r="18" spans="1:8" ht="18" customHeight="1">
      <c r="A18" s="34"/>
      <c r="B18" s="35"/>
      <c r="C18" s="37"/>
      <c r="D18" s="36"/>
      <c r="E18" s="76"/>
      <c r="F18" s="76"/>
      <c r="G18" s="195"/>
      <c r="H18" s="187"/>
    </row>
    <row r="19" spans="1:8" ht="18" customHeight="1">
      <c r="A19" s="34"/>
      <c r="B19" s="35"/>
      <c r="C19" s="37"/>
      <c r="D19" s="36"/>
      <c r="E19" s="76"/>
      <c r="F19" s="76"/>
      <c r="G19" s="195"/>
      <c r="H19" s="187"/>
    </row>
    <row r="20" spans="1:8" ht="18" customHeight="1">
      <c r="A20" s="34"/>
      <c r="B20" s="35"/>
      <c r="C20" s="37"/>
      <c r="D20" s="36"/>
      <c r="E20" s="77"/>
      <c r="F20" s="77"/>
      <c r="G20" s="199"/>
      <c r="H20" s="188"/>
    </row>
    <row r="21" spans="1:8" ht="18" customHeight="1" thickBot="1">
      <c r="A21" s="38"/>
      <c r="B21" s="39" t="s">
        <v>110</v>
      </c>
      <c r="C21" s="40"/>
      <c r="D21" s="40"/>
      <c r="E21" s="78">
        <v>517743.2224731521</v>
      </c>
      <c r="F21" s="78">
        <v>1939770.2221796825</v>
      </c>
      <c r="G21" s="197">
        <v>5929176.368594328</v>
      </c>
      <c r="H21" s="189">
        <v>6427653.1631101705</v>
      </c>
    </row>
    <row r="22" spans="1:7" ht="18" customHeight="1">
      <c r="A22" s="21"/>
      <c r="B22" s="21"/>
      <c r="C22" s="41"/>
      <c r="D22" s="41"/>
      <c r="E22" s="42"/>
      <c r="F22" s="42"/>
      <c r="G22" s="42"/>
    </row>
    <row r="23" spans="1:7" ht="18" customHeight="1" thickBot="1">
      <c r="A23" s="28" t="s">
        <v>111</v>
      </c>
      <c r="B23" s="21"/>
      <c r="C23" s="41"/>
      <c r="D23" s="41"/>
      <c r="E23" s="21"/>
      <c r="F23" s="21"/>
      <c r="G23" s="21"/>
    </row>
    <row r="24" spans="1:8" ht="16.7" customHeight="1">
      <c r="A24" s="30" t="s">
        <v>105</v>
      </c>
      <c r="B24" s="31"/>
      <c r="C24" s="32" t="s">
        <v>106</v>
      </c>
      <c r="D24" s="43" t="s">
        <v>112</v>
      </c>
      <c r="E24" s="44" t="str">
        <f>E16</f>
        <v>2023/2024</v>
      </c>
      <c r="F24" s="44">
        <f>F16</f>
        <v>2025</v>
      </c>
      <c r="G24" s="190" t="str">
        <f>G16</f>
        <v>2026/2027</v>
      </c>
      <c r="H24" s="186" t="s">
        <v>79</v>
      </c>
    </row>
    <row r="25" spans="1:8" ht="18" customHeight="1">
      <c r="A25" s="34" t="s">
        <v>108</v>
      </c>
      <c r="B25" s="45"/>
      <c r="C25" s="36">
        <v>4640</v>
      </c>
      <c r="D25" s="36" t="s">
        <v>113</v>
      </c>
      <c r="E25" s="79">
        <f>'Costing Calculation'!AC8</f>
        <v>3927490.630618779</v>
      </c>
      <c r="F25" s="79">
        <f>'Costing Calculation'!AD8</f>
        <v>11762180.028158354</v>
      </c>
      <c r="G25" s="198">
        <f>'Costing Calculation'!AF8</f>
        <v>25704102.046283547</v>
      </c>
      <c r="H25" s="191">
        <f>'Costing Calculation'!AH8</f>
        <v>28417915.171122476</v>
      </c>
    </row>
    <row r="26" spans="1:8" ht="18" customHeight="1">
      <c r="A26" s="34"/>
      <c r="B26" s="45"/>
      <c r="C26" s="37"/>
      <c r="D26" s="36"/>
      <c r="E26" s="76"/>
      <c r="F26" s="76"/>
      <c r="G26" s="195"/>
      <c r="H26" s="187"/>
    </row>
    <row r="27" spans="1:8" ht="18" customHeight="1">
      <c r="A27" s="34"/>
      <c r="B27" s="45"/>
      <c r="C27" s="37"/>
      <c r="D27" s="36"/>
      <c r="E27" s="77"/>
      <c r="F27" s="76"/>
      <c r="G27" s="195"/>
      <c r="H27" s="187"/>
    </row>
    <row r="28" spans="1:8" ht="18" customHeight="1">
      <c r="A28" s="34"/>
      <c r="B28" s="45"/>
      <c r="C28" s="36"/>
      <c r="D28" s="36"/>
      <c r="E28" s="76"/>
      <c r="F28" s="76"/>
      <c r="G28" s="195"/>
      <c r="H28" s="187"/>
    </row>
    <row r="29" spans="1:9" ht="18" customHeight="1" thickBot="1">
      <c r="A29" s="38"/>
      <c r="B29" s="39" t="s">
        <v>114</v>
      </c>
      <c r="C29" s="40"/>
      <c r="D29" s="40"/>
      <c r="E29" s="78">
        <f>SUM(E25:E28)</f>
        <v>3927490.630618779</v>
      </c>
      <c r="F29" s="78">
        <f>SUM(F25:F28)</f>
        <v>11762180.028158354</v>
      </c>
      <c r="G29" s="197">
        <f>SUM(G25:G28)</f>
        <v>25704102.046283547</v>
      </c>
      <c r="H29" s="189">
        <f>SUM(H25:H28)</f>
        <v>28417915.171122476</v>
      </c>
      <c r="I29" s="46"/>
    </row>
    <row r="30" spans="1:7" ht="18" customHeight="1">
      <c r="A30" s="21"/>
      <c r="B30" s="21"/>
      <c r="C30" s="21"/>
      <c r="D30" s="21"/>
      <c r="E30" s="217" t="s">
        <v>150</v>
      </c>
      <c r="F30" s="218"/>
      <c r="G30" s="219">
        <f>3927491-3388138</f>
        <v>539353</v>
      </c>
    </row>
    <row r="31" spans="1:7" ht="18" customHeight="1" thickBot="1">
      <c r="A31" s="28" t="s">
        <v>115</v>
      </c>
      <c r="B31" s="21"/>
      <c r="C31" s="21"/>
      <c r="D31" s="21"/>
      <c r="E31" s="21"/>
      <c r="F31" s="21"/>
      <c r="G31" s="21"/>
    </row>
    <row r="32" spans="1:8" ht="36" customHeight="1">
      <c r="A32" s="30"/>
      <c r="B32" s="31"/>
      <c r="C32" s="47"/>
      <c r="D32" s="48"/>
      <c r="E32" s="32" t="str">
        <f>E16</f>
        <v>2023/2024</v>
      </c>
      <c r="F32" s="43">
        <f>F16</f>
        <v>2025</v>
      </c>
      <c r="G32" s="194" t="str">
        <f>G16</f>
        <v>2026/2027</v>
      </c>
      <c r="H32" s="192" t="str">
        <f>H16</f>
        <v>2028/2029</v>
      </c>
    </row>
    <row r="33" spans="1:8" ht="18" customHeight="1">
      <c r="A33" s="34" t="s">
        <v>116</v>
      </c>
      <c r="B33" s="35"/>
      <c r="C33" s="49"/>
      <c r="D33" s="50"/>
      <c r="E33" s="76">
        <f>E25*0.7</f>
        <v>2749243.441433145</v>
      </c>
      <c r="F33" s="76">
        <f>F25*0.7</f>
        <v>8233526.019710847</v>
      </c>
      <c r="G33" s="195">
        <f>G25*0.7</f>
        <v>17992871.432398483</v>
      </c>
      <c r="H33" s="187">
        <f>H25*0.7</f>
        <v>19892540.619785734</v>
      </c>
    </row>
    <row r="34" spans="1:9" ht="18" customHeight="1">
      <c r="A34" s="34" t="s">
        <v>117</v>
      </c>
      <c r="B34" s="35"/>
      <c r="C34" s="35"/>
      <c r="D34" s="45"/>
      <c r="E34" s="76">
        <f>E25*0.3</f>
        <v>1178247.1891856336</v>
      </c>
      <c r="F34" s="76">
        <f>F25*0.3</f>
        <v>3528654.008447506</v>
      </c>
      <c r="G34" s="195">
        <f>G25*0.3</f>
        <v>7711230.613885064</v>
      </c>
      <c r="H34" s="187">
        <f>H25*0.3</f>
        <v>8525374.551336743</v>
      </c>
      <c r="I34" s="46"/>
    </row>
    <row r="35" spans="1:9" ht="18" customHeight="1">
      <c r="A35" s="34"/>
      <c r="B35" s="35"/>
      <c r="C35" s="35"/>
      <c r="D35" s="45"/>
      <c r="E35" s="76"/>
      <c r="F35" s="76"/>
      <c r="G35" s="195"/>
      <c r="H35" s="187"/>
      <c r="I35" s="46"/>
    </row>
    <row r="36" spans="1:8" ht="18" customHeight="1">
      <c r="A36" s="34"/>
      <c r="B36" s="35"/>
      <c r="C36" s="35"/>
      <c r="D36" s="45"/>
      <c r="E36" s="80"/>
      <c r="F36" s="76"/>
      <c r="G36" s="195"/>
      <c r="H36" s="187"/>
    </row>
    <row r="37" spans="1:8" ht="18" customHeight="1">
      <c r="A37" s="51"/>
      <c r="B37" s="52"/>
      <c r="C37" s="52"/>
      <c r="D37" s="53"/>
      <c r="E37" s="81"/>
      <c r="F37" s="81"/>
      <c r="G37" s="196"/>
      <c r="H37" s="193"/>
    </row>
    <row r="38" spans="1:9" ht="18" customHeight="1" thickBot="1">
      <c r="A38" s="38" t="s">
        <v>114</v>
      </c>
      <c r="B38" s="39"/>
      <c r="C38" s="39"/>
      <c r="D38" s="54"/>
      <c r="E38" s="78">
        <f>SUM(E33:E37)</f>
        <v>3927490.630618779</v>
      </c>
      <c r="F38" s="78">
        <f>SUM(F33:F37)</f>
        <v>11762180.028158354</v>
      </c>
      <c r="G38" s="197">
        <f>SUM(G33:G37)</f>
        <v>25704102.046283547</v>
      </c>
      <c r="H38" s="189">
        <f>SUM(H33:H37)</f>
        <v>28417915.171122476</v>
      </c>
      <c r="I38" s="46"/>
    </row>
    <row r="39" spans="1:9" ht="18" customHeight="1">
      <c r="A39" s="28" t="s">
        <v>118</v>
      </c>
      <c r="B39" s="21"/>
      <c r="C39" s="21"/>
      <c r="D39" s="21"/>
      <c r="E39" s="55" t="s">
        <v>119</v>
      </c>
      <c r="F39" s="55"/>
      <c r="G39" s="55"/>
      <c r="H39" s="46"/>
      <c r="I39" s="46"/>
    </row>
    <row r="40" spans="1:9" ht="18" customHeight="1">
      <c r="A40" s="21" t="s">
        <v>120</v>
      </c>
      <c r="B40" s="21"/>
      <c r="C40" s="21"/>
      <c r="D40" s="21"/>
      <c r="E40" s="55"/>
      <c r="F40" s="55"/>
      <c r="G40" s="55"/>
      <c r="H40" s="46"/>
      <c r="I40" s="46"/>
    </row>
    <row r="41" spans="1:11" ht="14.1" customHeight="1">
      <c r="A41" s="56" t="s">
        <v>121</v>
      </c>
      <c r="E41" s="57">
        <v>2023</v>
      </c>
      <c r="F41" s="58">
        <v>2024</v>
      </c>
      <c r="G41" s="57">
        <v>2025</v>
      </c>
      <c r="H41" s="58">
        <v>2026</v>
      </c>
      <c r="I41" s="57">
        <v>2027</v>
      </c>
      <c r="J41" s="58">
        <v>2028</v>
      </c>
      <c r="K41" s="58">
        <v>2029</v>
      </c>
    </row>
    <row r="42" spans="1:13" ht="18" customHeight="1">
      <c r="A42" s="251" t="s">
        <v>122</v>
      </c>
      <c r="B42" s="251"/>
      <c r="C42" s="252"/>
      <c r="D42" s="59" t="s">
        <v>82</v>
      </c>
      <c r="E42" s="61">
        <v>0</v>
      </c>
      <c r="F42" s="60">
        <f>'Costing Calculation'!W3</f>
        <v>2708.744694960211</v>
      </c>
      <c r="G42" s="60">
        <f>'Costing Calculation'!X3</f>
        <v>7832.6672855879715</v>
      </c>
      <c r="H42" s="60">
        <f>'Costing Calculation'!Y3</f>
        <v>10137.18333333333</v>
      </c>
      <c r="I42" s="60">
        <f>'Costing Calculation'!Z3</f>
        <v>10137.18333333333</v>
      </c>
      <c r="J42" s="60">
        <f>'Costing Calculation'!AA3</f>
        <v>10149.633333333331</v>
      </c>
      <c r="K42" s="60">
        <f>'Costing Calculation'!AB3</f>
        <v>10137.18333333333</v>
      </c>
      <c r="M42" s="10" t="s">
        <v>154</v>
      </c>
    </row>
    <row r="43" spans="1:13" ht="18" customHeight="1">
      <c r="A43" s="254"/>
      <c r="B43" s="254"/>
      <c r="C43" s="255"/>
      <c r="D43" s="59" t="s">
        <v>83</v>
      </c>
      <c r="E43" s="61">
        <v>0</v>
      </c>
      <c r="F43" s="60">
        <f>'Costing Calculation'!W4</f>
        <v>366.8691605554691</v>
      </c>
      <c r="G43" s="60">
        <f>'Costing Calculation'!X4</f>
        <v>770.083333333334</v>
      </c>
      <c r="H43" s="60">
        <f>'Costing Calculation'!Y4</f>
        <v>770.0833333333339</v>
      </c>
      <c r="I43" s="60">
        <f>'Costing Calculation'!Z4</f>
        <v>5029.083333333331</v>
      </c>
      <c r="J43" s="60">
        <f>'Costing Calculation'!AA4</f>
        <v>5024.831372549017</v>
      </c>
      <c r="K43" s="60">
        <f>'Costing Calculation'!AB4</f>
        <v>5029.083333333331</v>
      </c>
      <c r="M43" s="46">
        <f>F42+F43+F44</f>
        <v>115.60546887189548</v>
      </c>
    </row>
    <row r="44" spans="1:13" ht="18" customHeight="1">
      <c r="A44" s="254"/>
      <c r="B44" s="254"/>
      <c r="C44" s="255"/>
      <c r="D44" s="59" t="s">
        <v>84</v>
      </c>
      <c r="E44" s="61">
        <v>0</v>
      </c>
      <c r="F44" s="60">
        <f>'Costing Calculation'!W5</f>
        <v>-2960.0083866437844</v>
      </c>
      <c r="G44" s="60">
        <f>'Costing Calculation'!X5</f>
        <v>-10123.833952254648</v>
      </c>
      <c r="H44" s="60">
        <f>'Costing Calculation'!Y5</f>
        <v>-12428.350000000008</v>
      </c>
      <c r="I44" s="60">
        <f>'Costing Calculation'!Z5</f>
        <v>-12428.350000000008</v>
      </c>
      <c r="J44" s="60">
        <f>'Costing Calculation'!AA5</f>
        <v>-12480.415686274517</v>
      </c>
      <c r="K44" s="60">
        <f>'Costing Calculation'!AB5</f>
        <v>-12428.350000000008</v>
      </c>
      <c r="M44" s="10" t="s">
        <v>155</v>
      </c>
    </row>
    <row r="45" spans="1:18" ht="30.75" customHeight="1">
      <c r="A45" s="254"/>
      <c r="B45" s="254"/>
      <c r="C45" s="255"/>
      <c r="D45" s="59" t="s">
        <v>151</v>
      </c>
      <c r="E45" s="61">
        <v>0</v>
      </c>
      <c r="F45" s="220">
        <f>'Costing Calculation'!W6</f>
        <v>15834.550000000001</v>
      </c>
      <c r="G45" s="220">
        <f>'Costing Calculation'!X6</f>
        <v>47707.88333333334</v>
      </c>
      <c r="H45" s="220">
        <f>'Costing Calculation'!Y6</f>
        <v>47707.88333333333</v>
      </c>
      <c r="I45" s="220">
        <f>'Costing Calculation'!Z6</f>
        <v>47707.88333333333</v>
      </c>
      <c r="J45" s="220">
        <f>'Costing Calculation'!AA6</f>
        <v>47847.433333333334</v>
      </c>
      <c r="K45" s="220">
        <f>'Costing Calculation'!AB6</f>
        <v>47707.88333333333</v>
      </c>
      <c r="M45" s="46">
        <f>G42+G43+G44</f>
        <v>-1521.083333333343</v>
      </c>
      <c r="R45" s="46"/>
    </row>
    <row r="46" spans="1:11" ht="13.15" customHeight="1">
      <c r="A46" s="210"/>
      <c r="B46" s="210"/>
      <c r="C46" s="210"/>
      <c r="E46" s="222" t="s">
        <v>152</v>
      </c>
      <c r="F46" s="223">
        <f>SUM(F42:F45)</f>
        <v>15950.155468871897</v>
      </c>
      <c r="G46" s="223">
        <f aca="true" t="shared" si="0" ref="G46:K46">SUM(G42:G45)</f>
        <v>46186.799999999996</v>
      </c>
      <c r="H46" s="223">
        <f t="shared" si="0"/>
        <v>46186.79999999999</v>
      </c>
      <c r="I46" s="223">
        <f t="shared" si="0"/>
        <v>50445.79999999999</v>
      </c>
      <c r="J46" s="223">
        <f t="shared" si="0"/>
        <v>50541.482352941166</v>
      </c>
      <c r="K46" s="223">
        <f t="shared" si="0"/>
        <v>50445.79999999999</v>
      </c>
    </row>
    <row r="47" spans="1:11" ht="13.15" customHeight="1">
      <c r="A47" s="215"/>
      <c r="B47" s="215"/>
      <c r="C47" s="215"/>
      <c r="E47" s="224" t="s">
        <v>153</v>
      </c>
      <c r="F47" s="225">
        <f>F46-13460</f>
        <v>2490.155468871897</v>
      </c>
      <c r="G47" s="225">
        <f>G46-39014</f>
        <v>7172.799999999996</v>
      </c>
      <c r="H47" s="225">
        <f>H46-39014</f>
        <v>7172.799999999988</v>
      </c>
      <c r="I47" s="225">
        <f>I46-42163</f>
        <v>8282.799999999988</v>
      </c>
      <c r="J47" s="225">
        <f aca="true" t="shared" si="1" ref="J47:K47">J46-42163</f>
        <v>8378.482352941166</v>
      </c>
      <c r="K47" s="225">
        <f t="shared" si="1"/>
        <v>8282.799999999988</v>
      </c>
    </row>
    <row r="48" spans="1:11" ht="13.15" customHeight="1">
      <c r="A48" s="215"/>
      <c r="B48" s="215"/>
      <c r="C48" s="215"/>
      <c r="E48" s="66"/>
      <c r="F48" s="221"/>
      <c r="G48" s="221"/>
      <c r="H48" s="221"/>
      <c r="I48" s="221"/>
      <c r="J48" s="221"/>
      <c r="K48" s="221"/>
    </row>
    <row r="49" ht="13.15" customHeight="1">
      <c r="A49" s="56" t="s">
        <v>123</v>
      </c>
    </row>
    <row r="50" spans="1:11" ht="14.25" customHeight="1">
      <c r="A50" s="250" t="s">
        <v>124</v>
      </c>
      <c r="B50" s="251"/>
      <c r="C50" s="252"/>
      <c r="D50" s="59" t="s">
        <v>82</v>
      </c>
      <c r="E50" s="62">
        <v>215.5694301368774</v>
      </c>
      <c r="F50" s="62">
        <v>222.03651304098372</v>
      </c>
      <c r="G50" s="62">
        <v>228.69760843221323</v>
      </c>
      <c r="H50" s="62">
        <v>235.55853668517963</v>
      </c>
      <c r="I50" s="62">
        <v>242.62529278573504</v>
      </c>
      <c r="J50" s="62">
        <v>249.9040515693071</v>
      </c>
      <c r="K50" s="62">
        <f>J50*1.03</f>
        <v>257.4011731163863</v>
      </c>
    </row>
    <row r="51" spans="1:11" ht="13.15" customHeight="1">
      <c r="A51" s="253"/>
      <c r="B51" s="254"/>
      <c r="C51" s="255"/>
      <c r="D51" s="59" t="s">
        <v>83</v>
      </c>
      <c r="E51" s="62">
        <v>226.97600018580854</v>
      </c>
      <c r="F51" s="62">
        <v>233.7852801913828</v>
      </c>
      <c r="G51" s="62">
        <v>240.7988385971243</v>
      </c>
      <c r="H51" s="62">
        <v>248.02280375503804</v>
      </c>
      <c r="I51" s="62">
        <v>255.4634878676892</v>
      </c>
      <c r="J51" s="62">
        <v>263.1273925037199</v>
      </c>
      <c r="K51" s="62">
        <f>J51*1.03</f>
        <v>271.02121427883145</v>
      </c>
    </row>
    <row r="52" spans="1:11" ht="13.15" customHeight="1">
      <c r="A52" s="253"/>
      <c r="B52" s="254"/>
      <c r="C52" s="255"/>
      <c r="D52" s="59" t="s">
        <v>84</v>
      </c>
      <c r="E52" s="62">
        <v>211.16</v>
      </c>
      <c r="F52" s="62">
        <v>217.4948</v>
      </c>
      <c r="G52" s="62">
        <v>224.019644</v>
      </c>
      <c r="H52" s="62">
        <v>230.74023332000002</v>
      </c>
      <c r="I52" s="62">
        <v>237.66244031960002</v>
      </c>
      <c r="J52" s="62">
        <v>244.79231352918802</v>
      </c>
      <c r="K52" s="62">
        <f>J52*1.03</f>
        <v>252.13608293506365</v>
      </c>
    </row>
    <row r="53" spans="1:11" ht="20.45" customHeight="1">
      <c r="A53" s="253"/>
      <c r="B53" s="254"/>
      <c r="C53" s="255"/>
      <c r="D53" s="59" t="s">
        <v>85</v>
      </c>
      <c r="E53" s="62">
        <v>238.1463335314433</v>
      </c>
      <c r="F53" s="62">
        <v>245.2907235373866</v>
      </c>
      <c r="G53" s="62">
        <v>252.6494452435082</v>
      </c>
      <c r="H53" s="62">
        <v>260.22892860081345</v>
      </c>
      <c r="I53" s="62">
        <v>268.03579645883786</v>
      </c>
      <c r="J53" s="62">
        <v>276.076870352603</v>
      </c>
      <c r="K53" s="62">
        <f>J53*1.03</f>
        <v>284.3591764631811</v>
      </c>
    </row>
    <row r="54" spans="1:3" ht="13.15" customHeight="1">
      <c r="A54" s="210"/>
      <c r="B54" s="210"/>
      <c r="C54" s="210"/>
    </row>
    <row r="55" ht="13.15" customHeight="1">
      <c r="A55" s="56" t="s">
        <v>109</v>
      </c>
    </row>
    <row r="56" spans="1:11" ht="78" customHeight="1">
      <c r="A56" s="256" t="s">
        <v>125</v>
      </c>
      <c r="B56" s="257"/>
      <c r="C56" s="257"/>
      <c r="D56" s="63"/>
      <c r="E56" s="64">
        <v>1</v>
      </c>
      <c r="F56" s="64">
        <v>1.07</v>
      </c>
      <c r="G56" s="64">
        <v>1.11</v>
      </c>
      <c r="H56" s="64">
        <v>1.15</v>
      </c>
      <c r="I56" s="64">
        <v>1.15</v>
      </c>
      <c r="J56" s="64">
        <v>1.19</v>
      </c>
      <c r="K56" s="64">
        <v>1.23</v>
      </c>
    </row>
    <row r="57" spans="1:9" ht="86.25" customHeight="1">
      <c r="A57" s="21"/>
      <c r="B57" s="21"/>
      <c r="C57" s="21"/>
      <c r="D57" s="21"/>
      <c r="E57" s="55"/>
      <c r="F57" s="55"/>
      <c r="G57" s="55"/>
      <c r="H57" s="46"/>
      <c r="I57" s="65"/>
    </row>
    <row r="58" spans="1:9" ht="15">
      <c r="A58" s="66" t="s">
        <v>126</v>
      </c>
      <c r="I58" s="46"/>
    </row>
    <row r="59" spans="1:9" ht="13.15" customHeight="1">
      <c r="A59" s="10" t="s">
        <v>127</v>
      </c>
      <c r="I59" s="46"/>
    </row>
    <row r="60" spans="1:8" ht="26.25" customHeight="1">
      <c r="A60" s="258" t="s">
        <v>128</v>
      </c>
      <c r="B60" s="258"/>
      <c r="C60" s="258"/>
      <c r="D60" s="258"/>
      <c r="E60" s="258"/>
      <c r="F60" s="258"/>
      <c r="G60" s="258"/>
      <c r="H60" s="258"/>
    </row>
    <row r="61" spans="1:8" ht="27.2" customHeight="1">
      <c r="A61" s="258" t="s">
        <v>129</v>
      </c>
      <c r="B61" s="258"/>
      <c r="C61" s="258"/>
      <c r="D61" s="258"/>
      <c r="E61" s="258"/>
      <c r="F61" s="258"/>
      <c r="G61" s="258"/>
      <c r="H61" s="258"/>
    </row>
    <row r="62" spans="1:8" ht="7.5" customHeight="1">
      <c r="A62" s="211"/>
      <c r="B62" s="211"/>
      <c r="C62" s="211"/>
      <c r="D62" s="211"/>
      <c r="E62" s="211"/>
      <c r="F62" s="211"/>
      <c r="G62" s="211"/>
      <c r="H62" s="211"/>
    </row>
    <row r="63" spans="1:8" ht="51" customHeight="1">
      <c r="A63" s="259" t="s">
        <v>130</v>
      </c>
      <c r="B63" s="259"/>
      <c r="C63" s="259"/>
      <c r="D63" s="259"/>
      <c r="E63" s="259"/>
      <c r="F63" s="259"/>
      <c r="G63" s="259"/>
      <c r="H63" s="259"/>
    </row>
    <row r="64" spans="1:8" ht="43.15" customHeight="1">
      <c r="A64" s="259" t="s">
        <v>131</v>
      </c>
      <c r="B64" s="259"/>
      <c r="C64" s="259"/>
      <c r="D64" s="259"/>
      <c r="E64" s="259"/>
      <c r="F64" s="259"/>
      <c r="G64" s="259"/>
      <c r="H64" s="259"/>
    </row>
    <row r="65" spans="1:8" ht="64.9" customHeight="1">
      <c r="A65" s="259" t="s">
        <v>148</v>
      </c>
      <c r="B65" s="259"/>
      <c r="C65" s="259"/>
      <c r="D65" s="259"/>
      <c r="E65" s="259"/>
      <c r="F65" s="259"/>
      <c r="G65" s="259"/>
      <c r="H65" s="259"/>
    </row>
    <row r="66" spans="1:8" ht="7.5" customHeight="1">
      <c r="A66" s="212"/>
      <c r="B66" s="212"/>
      <c r="C66" s="212"/>
      <c r="D66" s="212"/>
      <c r="E66" s="212"/>
      <c r="F66" s="212"/>
      <c r="G66" s="212"/>
      <c r="H66" s="212"/>
    </row>
    <row r="67" ht="15">
      <c r="A67" s="10" t="s">
        <v>132</v>
      </c>
    </row>
    <row r="68" spans="1:8" ht="26.25" customHeight="1">
      <c r="A68" s="260" t="s">
        <v>133</v>
      </c>
      <c r="B68" s="260"/>
      <c r="C68" s="260"/>
      <c r="D68" s="260"/>
      <c r="E68" s="260"/>
      <c r="F68" s="260"/>
      <c r="G68" s="260"/>
      <c r="H68" s="260"/>
    </row>
    <row r="69" spans="1:7" ht="14.25">
      <c r="A69" s="21"/>
      <c r="B69" s="21"/>
      <c r="C69" s="21"/>
      <c r="D69" s="21"/>
      <c r="E69" s="21"/>
      <c r="F69" s="21"/>
      <c r="G69" s="21"/>
    </row>
    <row r="70" spans="1:7" ht="14.25">
      <c r="A70" s="10" t="s">
        <v>134</v>
      </c>
      <c r="B70" s="21"/>
      <c r="C70" s="21"/>
      <c r="D70" s="21"/>
      <c r="E70" s="21"/>
      <c r="F70" s="21"/>
      <c r="G70" s="21"/>
    </row>
    <row r="71" spans="1:8" ht="25.5" customHeight="1">
      <c r="A71" s="258" t="s">
        <v>135</v>
      </c>
      <c r="B71" s="258"/>
      <c r="C71" s="258"/>
      <c r="D71" s="258"/>
      <c r="E71" s="258"/>
      <c r="F71" s="258"/>
      <c r="G71" s="258"/>
      <c r="H71" s="258"/>
    </row>
    <row r="72" spans="1:7" ht="14.25">
      <c r="A72" s="21"/>
      <c r="B72" s="21"/>
      <c r="C72" s="21"/>
      <c r="D72" s="21"/>
      <c r="E72" s="21"/>
      <c r="F72" s="21"/>
      <c r="G72" s="21"/>
    </row>
    <row r="73" spans="2:9" ht="14.25">
      <c r="B73" s="21"/>
      <c r="C73" s="21"/>
      <c r="D73" s="21"/>
      <c r="E73" s="55"/>
      <c r="F73" s="55"/>
      <c r="G73" s="55"/>
      <c r="H73" s="46"/>
      <c r="I73" s="46"/>
    </row>
    <row r="74" spans="1:9" ht="14.25">
      <c r="A74" s="21"/>
      <c r="B74" s="21"/>
      <c r="C74" s="21"/>
      <c r="D74" s="21"/>
      <c r="E74" s="55"/>
      <c r="F74" s="55"/>
      <c r="G74" s="55"/>
      <c r="H74" s="46"/>
      <c r="I74" s="46"/>
    </row>
    <row r="75" spans="1:9" ht="14.25">
      <c r="A75" s="21"/>
      <c r="B75" s="21"/>
      <c r="C75" s="21"/>
      <c r="D75" s="21"/>
      <c r="E75" s="55"/>
      <c r="F75" s="55"/>
      <c r="G75" s="55"/>
      <c r="H75" s="46"/>
      <c r="I75" s="46"/>
    </row>
    <row r="76" spans="1:9" ht="14.25">
      <c r="A76" s="67"/>
      <c r="B76" s="67"/>
      <c r="C76" s="67"/>
      <c r="D76" s="67"/>
      <c r="E76" s="68"/>
      <c r="F76" s="68"/>
      <c r="G76" s="68"/>
      <c r="H76" s="46"/>
      <c r="I76" s="46"/>
    </row>
    <row r="77" spans="1:9" ht="14.25">
      <c r="A77" s="28" t="s">
        <v>136</v>
      </c>
      <c r="B77" s="21"/>
      <c r="C77" s="21"/>
      <c r="D77" s="21"/>
      <c r="E77" s="55"/>
      <c r="F77" s="55"/>
      <c r="G77" s="55"/>
      <c r="H77" s="46"/>
      <c r="I77" s="46"/>
    </row>
    <row r="78" spans="1:9" ht="15">
      <c r="A78" s="261" t="s">
        <v>137</v>
      </c>
      <c r="B78" s="262"/>
      <c r="C78" s="262"/>
      <c r="D78" s="262"/>
      <c r="E78" s="262"/>
      <c r="F78" s="262"/>
      <c r="G78" s="262"/>
      <c r="H78" s="46"/>
      <c r="I78" s="46"/>
    </row>
    <row r="79" spans="1:7" ht="14.25">
      <c r="A79" s="21" t="s">
        <v>138</v>
      </c>
      <c r="B79" s="21"/>
      <c r="C79" s="21"/>
      <c r="D79" s="21"/>
      <c r="E79" s="21"/>
      <c r="F79" s="21"/>
      <c r="G79" s="21"/>
    </row>
    <row r="80" spans="1:7" ht="14.25">
      <c r="A80" s="243" t="s">
        <v>139</v>
      </c>
      <c r="B80" s="243"/>
      <c r="C80" s="243"/>
      <c r="D80" s="243"/>
      <c r="E80" s="243"/>
      <c r="F80" s="243"/>
      <c r="G80" s="243"/>
    </row>
    <row r="81" spans="1:9" ht="14.25">
      <c r="A81" s="21" t="s">
        <v>140</v>
      </c>
      <c r="B81" s="21"/>
      <c r="C81" s="21"/>
      <c r="D81" s="21"/>
      <c r="E81" s="21"/>
      <c r="F81" s="21"/>
      <c r="G81" s="21"/>
      <c r="H81" s="46"/>
      <c r="I81" s="46"/>
    </row>
    <row r="82" spans="1:7" ht="14.25">
      <c r="A82" s="21" t="s">
        <v>141</v>
      </c>
      <c r="B82" s="21"/>
      <c r="C82" s="21"/>
      <c r="D82" s="21"/>
      <c r="E82" s="21"/>
      <c r="F82" s="21"/>
      <c r="G82" s="21"/>
    </row>
    <row r="83" spans="1:7" ht="14.25">
      <c r="A83" s="21"/>
      <c r="B83" s="21"/>
      <c r="C83" s="21"/>
      <c r="D83" s="21"/>
      <c r="E83" s="21"/>
      <c r="F83" s="21"/>
      <c r="G83" s="21"/>
    </row>
    <row r="84" spans="1:7" ht="14.25">
      <c r="A84" s="21"/>
      <c r="B84" s="21"/>
      <c r="C84" s="21"/>
      <c r="D84" s="21"/>
      <c r="E84" s="21"/>
      <c r="F84" s="21"/>
      <c r="G84" s="21"/>
    </row>
    <row r="85" spans="1:7" ht="14.25">
      <c r="A85" s="21"/>
      <c r="B85" s="21"/>
      <c r="C85" s="21"/>
      <c r="D85" s="21"/>
      <c r="E85" s="21"/>
      <c r="F85" s="21"/>
      <c r="G85" s="21"/>
    </row>
    <row r="86" spans="1:7" ht="14.25">
      <c r="A86" s="21"/>
      <c r="B86" s="21"/>
      <c r="C86" s="21"/>
      <c r="D86" s="21"/>
      <c r="E86" s="21"/>
      <c r="F86" s="21"/>
      <c r="G86" s="21"/>
    </row>
    <row r="87" spans="1:7" ht="14.25">
      <c r="A87" s="21"/>
      <c r="B87" s="21"/>
      <c r="C87" s="21"/>
      <c r="D87" s="21"/>
      <c r="E87" s="21"/>
      <c r="F87" s="21"/>
      <c r="G87" s="21"/>
    </row>
    <row r="88" spans="1:7" ht="14.25">
      <c r="A88" s="21"/>
      <c r="B88" s="21"/>
      <c r="C88" s="21"/>
      <c r="D88" s="21"/>
      <c r="E88" s="21"/>
      <c r="F88" s="21"/>
      <c r="G88" s="21"/>
    </row>
    <row r="89" spans="1:7" ht="14.25">
      <c r="A89" s="21"/>
      <c r="B89" s="21"/>
      <c r="C89" s="21"/>
      <c r="D89" s="21"/>
      <c r="E89" s="21"/>
      <c r="F89" s="21"/>
      <c r="G89" s="21"/>
    </row>
    <row r="90" spans="1:7" ht="14.25">
      <c r="A90" s="21"/>
      <c r="B90" s="21"/>
      <c r="C90" s="21"/>
      <c r="D90" s="21"/>
      <c r="E90" s="21"/>
      <c r="F90" s="21"/>
      <c r="G90" s="21"/>
    </row>
    <row r="91" spans="1:7" ht="14.25">
      <c r="A91" s="21"/>
      <c r="B91" s="21"/>
      <c r="C91" s="21"/>
      <c r="D91" s="21"/>
      <c r="E91" s="21"/>
      <c r="F91" s="21"/>
      <c r="G91" s="21"/>
    </row>
    <row r="92" spans="1:7" ht="14.25">
      <c r="A92" s="21"/>
      <c r="B92" s="21"/>
      <c r="C92" s="21"/>
      <c r="D92" s="21"/>
      <c r="E92" s="21"/>
      <c r="F92" s="21"/>
      <c r="G92" s="21"/>
    </row>
    <row r="93" spans="1:7" ht="14.25">
      <c r="A93" s="21"/>
      <c r="B93" s="21"/>
      <c r="C93" s="21"/>
      <c r="D93" s="21"/>
      <c r="E93" s="21"/>
      <c r="F93" s="21"/>
      <c r="G93" s="21"/>
    </row>
    <row r="94" spans="1:7" ht="14.25">
      <c r="A94" s="21"/>
      <c r="B94" s="21"/>
      <c r="C94" s="21"/>
      <c r="D94" s="21"/>
      <c r="E94" s="21"/>
      <c r="F94" s="21"/>
      <c r="G94" s="21"/>
    </row>
    <row r="95" spans="1:7" ht="14.25">
      <c r="A95" s="21"/>
      <c r="B95" s="21"/>
      <c r="C95" s="21"/>
      <c r="D95" s="21"/>
      <c r="E95" s="21"/>
      <c r="F95" s="21"/>
      <c r="G95" s="21"/>
    </row>
    <row r="96" spans="1:7" ht="14.25">
      <c r="A96" s="21"/>
      <c r="B96" s="21"/>
      <c r="C96" s="21"/>
      <c r="D96" s="21"/>
      <c r="E96" s="21"/>
      <c r="F96" s="21"/>
      <c r="G96" s="21"/>
    </row>
    <row r="97" spans="1:7" ht="14.25">
      <c r="A97" s="21"/>
      <c r="B97" s="21"/>
      <c r="C97" s="21"/>
      <c r="D97" s="21"/>
      <c r="E97" s="21"/>
      <c r="F97" s="21"/>
      <c r="G97" s="21"/>
    </row>
    <row r="98" spans="1:7" ht="14.25">
      <c r="A98" s="21"/>
      <c r="B98" s="21"/>
      <c r="C98" s="21"/>
      <c r="D98" s="21"/>
      <c r="E98" s="21"/>
      <c r="F98" s="21"/>
      <c r="G98" s="21"/>
    </row>
    <row r="99" spans="1:7" ht="14.25">
      <c r="A99" s="21"/>
      <c r="B99" s="21"/>
      <c r="C99" s="21"/>
      <c r="D99" s="21"/>
      <c r="E99" s="21"/>
      <c r="F99" s="21"/>
      <c r="G99" s="21"/>
    </row>
    <row r="100" spans="1:7" ht="14.25">
      <c r="A100" s="21"/>
      <c r="B100" s="21"/>
      <c r="C100" s="21"/>
      <c r="D100" s="21"/>
      <c r="E100" s="21"/>
      <c r="F100" s="21"/>
      <c r="G100" s="21"/>
    </row>
    <row r="101" spans="1:7" ht="14.25">
      <c r="A101" s="21"/>
      <c r="B101" s="21"/>
      <c r="C101" s="21"/>
      <c r="D101" s="21"/>
      <c r="E101" s="21"/>
      <c r="F101" s="21"/>
      <c r="G101" s="21"/>
    </row>
    <row r="102" spans="1:7" ht="14.25">
      <c r="A102" s="21"/>
      <c r="B102" s="21"/>
      <c r="C102" s="21"/>
      <c r="D102" s="21"/>
      <c r="E102" s="21"/>
      <c r="F102" s="21"/>
      <c r="G102" s="21"/>
    </row>
    <row r="103" spans="1:7" ht="14.25">
      <c r="A103" s="21"/>
      <c r="B103" s="21"/>
      <c r="C103" s="21"/>
      <c r="D103" s="21"/>
      <c r="E103" s="21"/>
      <c r="F103" s="21"/>
      <c r="G103" s="21"/>
    </row>
    <row r="104" spans="1:7" ht="14.25">
      <c r="A104" s="21"/>
      <c r="B104" s="21"/>
      <c r="C104" s="21"/>
      <c r="D104" s="21"/>
      <c r="E104" s="21"/>
      <c r="F104" s="21"/>
      <c r="G104" s="21"/>
    </row>
    <row r="105" spans="1:7" ht="14.25">
      <c r="A105" s="21"/>
      <c r="B105" s="21"/>
      <c r="C105" s="21"/>
      <c r="D105" s="21"/>
      <c r="E105" s="21"/>
      <c r="F105" s="21"/>
      <c r="G105" s="21"/>
    </row>
    <row r="106" spans="1:7" ht="14.25">
      <c r="A106" s="21"/>
      <c r="B106" s="21"/>
      <c r="C106" s="21"/>
      <c r="D106" s="21"/>
      <c r="E106" s="21"/>
      <c r="F106" s="21"/>
      <c r="G106" s="21"/>
    </row>
  </sheetData>
  <mergeCells count="13">
    <mergeCell ref="A80:G80"/>
    <mergeCell ref="A12:G13"/>
    <mergeCell ref="A50:C53"/>
    <mergeCell ref="A56:C56"/>
    <mergeCell ref="A60:H60"/>
    <mergeCell ref="A61:H61"/>
    <mergeCell ref="A63:H63"/>
    <mergeCell ref="A68:H68"/>
    <mergeCell ref="A71:H71"/>
    <mergeCell ref="A78:G78"/>
    <mergeCell ref="A42:C45"/>
    <mergeCell ref="A64:H64"/>
    <mergeCell ref="A65:H65"/>
  </mergeCells>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4BAC659C88024796AFCE56ACC804E7" ma:contentTypeVersion="15" ma:contentTypeDescription="Create a new document." ma:contentTypeScope="" ma:versionID="fef7cff7ce2a302f9dac77c985f8c9c6">
  <xsd:schema xmlns:xsd="http://www.w3.org/2001/XMLSchema" xmlns:xs="http://www.w3.org/2001/XMLSchema" xmlns:p="http://schemas.microsoft.com/office/2006/metadata/properties" xmlns:ns2="3804c0c9-4767-42a2-b05e-b95b3e40206f" xmlns:ns3="d641dce3-3e41-400c-a28e-b1c0be1ca555" xmlns:ns4="2beaef9f-cf1f-479f-a374-c737fe2c05cb" targetNamespace="http://schemas.microsoft.com/office/2006/metadata/properties" ma:root="true" ma:fieldsID="ac7b2c52f54ecfa7130bc5d69a983057" ns2:_="" ns3:_="" ns4:_="">
    <xsd:import namespace="3804c0c9-4767-42a2-b05e-b95b3e40206f"/>
    <xsd:import namespace="d641dce3-3e41-400c-a28e-b1c0be1ca555"/>
    <xsd:import namespace="2beaef9f-cf1f-479f-a374-c737fe2c05c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EPAIDUniqueID_x003d_FINAL" minOccurs="0"/>
                <xsd:element ref="ns2:MediaServiceDateTaken"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04c0c9-4767-42a2-b05e-b95b3e4020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87192d8-99aa-4f2d-82ad-d3af49b789fe"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EPAIDUniqueID_x003d_FINAL" ma:index="18" nillable="true" ma:displayName="ID Unique ID " ma:description="Unique ID for Shapefiles" ma:format="Dropdown" ma:internalName="EPAIDUniqueID_x003d_FINAL">
      <xsd:simpleType>
        <xsd:restriction base="dms:Text">
          <xsd:maxLength value="255"/>
        </xsd:restrictio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641dce3-3e41-400c-a28e-b1c0be1ca55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eaef9f-cf1f-479f-a374-c737fe2c05c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62de536-0641-496d-8d16-36d89177bb70}" ma:internalName="TaxCatchAll" ma:showField="CatchAllData" ma:web="d641dce3-3e41-400c-a28e-b1c0be1ca55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d641dce3-3e41-400c-a28e-b1c0be1ca555">
      <UserInfo>
        <DisplayName>Miller, Ryan</DisplayName>
        <AccountId>78</AccountId>
        <AccountType/>
      </UserInfo>
    </SharedWithUsers>
    <EPAIDUniqueID_x003d_FINAL xmlns="3804c0c9-4767-42a2-b05e-b95b3e40206f" xsi:nil="true"/>
    <lcf76f155ced4ddcb4097134ff3c332f xmlns="3804c0c9-4767-42a2-b05e-b95b3e40206f">
      <Terms xmlns="http://schemas.microsoft.com/office/infopath/2007/PartnerControls"/>
    </lcf76f155ced4ddcb4097134ff3c332f>
    <TaxCatchAll xmlns="2beaef9f-cf1f-479f-a374-c737fe2c05cb" xsi:nil="true"/>
  </documentManagement>
</p:properties>
</file>

<file path=customXml/itemProps1.xml><?xml version="1.0" encoding="utf-8"?>
<ds:datastoreItem xmlns:ds="http://schemas.openxmlformats.org/officeDocument/2006/customXml" ds:itemID="{79E8F817-35B3-4C90-A257-5E50916A04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04c0c9-4767-42a2-b05e-b95b3e40206f"/>
    <ds:schemaRef ds:uri="d641dce3-3e41-400c-a28e-b1c0be1ca555"/>
    <ds:schemaRef ds:uri="2beaef9f-cf1f-479f-a374-c737fe2c05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823B5E-40B4-4616-B20B-83DB92EFA90A}">
  <ds:schemaRefs>
    <ds:schemaRef ds:uri="http://schemas.microsoft.com/sharepoint/v3/contenttype/forms"/>
  </ds:schemaRefs>
</ds:datastoreItem>
</file>

<file path=customXml/itemProps3.xml><?xml version="1.0" encoding="utf-8"?>
<ds:datastoreItem xmlns:ds="http://schemas.openxmlformats.org/officeDocument/2006/customXml" ds:itemID="{4B4A7170-26AA-470C-98A6-39757176C541}">
  <ds:schemaRefs>
    <ds:schemaRef ds:uri="http://schemas.openxmlformats.org/package/2006/metadata/core-properties"/>
    <ds:schemaRef ds:uri="http://schemas.microsoft.com/office/2006/documentManagement/types"/>
    <ds:schemaRef ds:uri="d641dce3-3e41-400c-a28e-b1c0be1ca555"/>
    <ds:schemaRef ds:uri="http://purl.org/dc/dcmitype/"/>
    <ds:schemaRef ds:uri="2beaef9f-cf1f-479f-a374-c737fe2c05cb"/>
    <ds:schemaRef ds:uri="http://purl.org/dc/elements/1.1/"/>
    <ds:schemaRef ds:uri="http://www.w3.org/XML/1998/namespace"/>
    <ds:schemaRef ds:uri="http://schemas.microsoft.com/office/2006/metadata/properties"/>
    <ds:schemaRef ds:uri="http://schemas.microsoft.com/office/infopath/2007/PartnerControls"/>
    <ds:schemaRef ds:uri="3804c0c9-4767-42a2-b05e-b95b3e40206f"/>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 Ryan</dc:creator>
  <cp:keywords/>
  <dc:description/>
  <cp:lastModifiedBy>Bourguignon, Mary</cp:lastModifiedBy>
  <cp:lastPrinted>2024-02-14T16:55:15Z</cp:lastPrinted>
  <dcterms:created xsi:type="dcterms:W3CDTF">2022-04-22T14:09:50Z</dcterms:created>
  <dcterms:modified xsi:type="dcterms:W3CDTF">2024-02-15T16:21:59Z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0x0101003E4BAC659C88024796AFCE56ACC804E7</vt:lpwstr>
  </property>
  <property fmtid="{D5CDD505-2E9C-101B-9397-08002B2CF9AE}" pid="3" name="MediaServiceImageTags">
    <vt:lpwstr/>
  </property>
  <property fmtid="{D5CDD505-2E9C-101B-9397-08002B2CF9AE}" pid="4" name="Order">
    <vt:r8>178600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