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005" tabRatio="396" activeTab="0"/>
  </bookViews>
  <sheets>
    <sheet name="FinPlan" sheetId="1" r:id="rId1"/>
    <sheet name="Revenue" sheetId="2" state="hidden" r:id="rId2"/>
    <sheet name="2004 09 fin plan" sheetId="3" state="hidden" r:id="rId3"/>
  </sheets>
  <externalReferences>
    <externalReference r:id="rId6"/>
  </externalReferences>
  <definedNames>
    <definedName name="ActualFundBalance">#REF!</definedName>
    <definedName name="AdoptedFundBalance">#REF!</definedName>
    <definedName name="EstimatedFundBalance">#REF!</definedName>
    <definedName name="Financial_Plan">#REF!</definedName>
    <definedName name="_xlnm.Print_Area" localSheetId="2">'2004 09 fin plan'!$A$1:$L$49</definedName>
    <definedName name="_xlnm.Print_Area" localSheetId="1">'Revenue'!$A$1:$R$172</definedName>
    <definedName name="_xlnm.Print_Titles" localSheetId="1">'Revenue'!$4:$8</definedName>
    <definedName name="Projected2FundBalance">#REF!</definedName>
    <definedName name="Projected3FundBalance">#REF!</definedName>
    <definedName name="ProjectedFundBalance">#REF!</definedName>
    <definedName name="ProposedExpenditure">#REF!</definedName>
    <definedName name="ProposedRevenue">#REF!</definedName>
    <definedName name="wrn.CX." localSheetId="2" hidden="1">{"cxtransfer",#N/A,FALSE,"ReorgRevisted"}</definedName>
    <definedName name="wrn.CX." hidden="1">{"cxtransfer",#N/A,FALSE,"ReorgRevisted"}</definedName>
    <definedName name="wrn.NonWholeReport." localSheetId="2" hidden="1">{"NonWhole",#N/A,FALSE,"ReorgRevisted"}</definedName>
    <definedName name="wrn.NonWholeReport." hidden="1">{"NonWhole",#N/A,FALSE,"ReorgRevisted"}</definedName>
    <definedName name="wrn.RprtDis." localSheetId="2" hidden="1">{"Dis",#N/A,FALSE,"ReorgRevisted"}</definedName>
    <definedName name="wrn.RprtDis." hidden="1">{"Dis",#N/A,FALSE,"ReorgRevisted"}</definedName>
    <definedName name="wrn.WholeReport." localSheetId="2" hidden="1">{"Whole",#N/A,FALSE,"ReorgRevisted"}</definedName>
    <definedName name="wrn.WholeReport." hidden="1">{"Whole",#N/A,FALSE,"ReorgRevisted"}</definedName>
  </definedNames>
  <calcPr fullCalcOnLoad="1"/>
</workbook>
</file>

<file path=xl/comments2.xml><?xml version="1.0" encoding="utf-8"?>
<comments xmlns="http://schemas.openxmlformats.org/spreadsheetml/2006/main">
  <authors>
    <author>Linda Smith</author>
  </authors>
  <commentList>
    <comment ref="H10" authorId="0">
      <text>
        <r>
          <rPr>
            <b/>
            <sz val="8"/>
            <rFont val="Tahoma"/>
            <family val="0"/>
          </rPr>
          <t>Linda Smith:</t>
        </r>
        <r>
          <rPr>
            <sz val="8"/>
            <rFont val="Tahoma"/>
            <family val="0"/>
          </rPr>
          <t xml:space="preserve">
</t>
        </r>
      </text>
    </comment>
  </commentList>
</comments>
</file>

<file path=xl/sharedStrings.xml><?xml version="1.0" encoding="utf-8"?>
<sst xmlns="http://schemas.openxmlformats.org/spreadsheetml/2006/main" count="448" uniqueCount="343">
  <si>
    <t>Fund</t>
  </si>
  <si>
    <t>Fund Name</t>
  </si>
  <si>
    <t>Dept</t>
  </si>
  <si>
    <t>Program</t>
  </si>
  <si>
    <t>Project Number</t>
  </si>
  <si>
    <t>Project Description</t>
  </si>
  <si>
    <t>Carryover</t>
  </si>
  <si>
    <t>Combined Carryover &amp; Ordinance</t>
  </si>
  <si>
    <t>000003380</t>
  </si>
  <si>
    <t>AIRPORT CONSTRUCTION</t>
  </si>
  <si>
    <t>0714</t>
  </si>
  <si>
    <t>54621</t>
  </si>
  <si>
    <t>Year End Reconciliation</t>
  </si>
  <si>
    <t>Name</t>
  </si>
  <si>
    <t>Total</t>
  </si>
  <si>
    <t>Administrative Adjustment (Less than $10)</t>
  </si>
  <si>
    <t>Budget vs. Revenues</t>
  </si>
  <si>
    <t>Revenue Account</t>
  </si>
  <si>
    <t>Budgeted Revenue</t>
  </si>
  <si>
    <t>Actual Revenue</t>
  </si>
  <si>
    <t>Budget-Actual</t>
  </si>
  <si>
    <t>CIP Rec. Ordinance</t>
  </si>
  <si>
    <t>Total by Project</t>
  </si>
  <si>
    <t xml:space="preserve"> Financial Plan </t>
  </si>
  <si>
    <t>For CIP Reconciliation</t>
  </si>
  <si>
    <t>Fund Number:</t>
  </si>
  <si>
    <t>Fund Name:</t>
  </si>
  <si>
    <t>Footnotes/Comments:</t>
  </si>
  <si>
    <t>2003 Ending Fund Balance</t>
  </si>
  <si>
    <t>2003 Beginning Fund Balance</t>
  </si>
  <si>
    <t>Transportation</t>
  </si>
  <si>
    <t>Public Transportation</t>
  </si>
  <si>
    <t xml:space="preserve"> </t>
  </si>
  <si>
    <t>A00002</t>
  </si>
  <si>
    <t>A00003</t>
  </si>
  <si>
    <t>A00008</t>
  </si>
  <si>
    <t>A00010</t>
  </si>
  <si>
    <t>A00012</t>
  </si>
  <si>
    <t>A00014</t>
  </si>
  <si>
    <t>A00020</t>
  </si>
  <si>
    <t>A00024</t>
  </si>
  <si>
    <t>A00025</t>
  </si>
  <si>
    <t>A00026</t>
  </si>
  <si>
    <t>A00042</t>
  </si>
  <si>
    <t>A00045</t>
  </si>
  <si>
    <t>A00047</t>
  </si>
  <si>
    <t>A00051</t>
  </si>
  <si>
    <t>A00052</t>
  </si>
  <si>
    <t>A00054</t>
  </si>
  <si>
    <t>A00055</t>
  </si>
  <si>
    <t>A00058</t>
  </si>
  <si>
    <t>A00065</t>
  </si>
  <si>
    <t>A00067</t>
  </si>
  <si>
    <t>A00072</t>
  </si>
  <si>
    <t>A00082</t>
  </si>
  <si>
    <t>A00094</t>
  </si>
  <si>
    <t>A00096</t>
  </si>
  <si>
    <t>A00097</t>
  </si>
  <si>
    <t>A00113</t>
  </si>
  <si>
    <t>A00201</t>
  </si>
  <si>
    <t>A00204</t>
  </si>
  <si>
    <t>A00205</t>
  </si>
  <si>
    <t>A00206</t>
  </si>
  <si>
    <t>A00211</t>
  </si>
  <si>
    <t>A00212</t>
  </si>
  <si>
    <t>A00216</t>
  </si>
  <si>
    <t>A00219</t>
  </si>
  <si>
    <t>A00221</t>
  </si>
  <si>
    <t>A00223</t>
  </si>
  <si>
    <t>A00224</t>
  </si>
  <si>
    <t>A00227</t>
  </si>
  <si>
    <t>A00229</t>
  </si>
  <si>
    <t>A00230</t>
  </si>
  <si>
    <t>A00236</t>
  </si>
  <si>
    <t>A00315</t>
  </si>
  <si>
    <t>A00316</t>
  </si>
  <si>
    <t>A00318</t>
  </si>
  <si>
    <t>A00319</t>
  </si>
  <si>
    <t>A00320</t>
  </si>
  <si>
    <t>A00321</t>
  </si>
  <si>
    <t>A00322</t>
  </si>
  <si>
    <t>A00326</t>
  </si>
  <si>
    <t>A00327</t>
  </si>
  <si>
    <t>A00330</t>
  </si>
  <si>
    <t>A00331</t>
  </si>
  <si>
    <t>A00400</t>
  </si>
  <si>
    <t>A00401</t>
  </si>
  <si>
    <t>A00402</t>
  </si>
  <si>
    <t>A00403</t>
  </si>
  <si>
    <t>A00404</t>
  </si>
  <si>
    <t>A00405</t>
  </si>
  <si>
    <t>A00411</t>
  </si>
  <si>
    <t>A00412</t>
  </si>
  <si>
    <t>A00413</t>
  </si>
  <si>
    <t>A00415</t>
  </si>
  <si>
    <t>A00450</t>
  </si>
  <si>
    <t>A00451</t>
  </si>
  <si>
    <t>A00452</t>
  </si>
  <si>
    <t>A00453</t>
  </si>
  <si>
    <t>A00454</t>
  </si>
  <si>
    <t>A00455</t>
  </si>
  <si>
    <t>A00460</t>
  </si>
  <si>
    <t>A00466</t>
  </si>
  <si>
    <t>A00473</t>
  </si>
  <si>
    <t>A00477</t>
  </si>
  <si>
    <t>A00483</t>
  </si>
  <si>
    <t>A00484</t>
  </si>
  <si>
    <t>A00485</t>
  </si>
  <si>
    <t>A00486</t>
  </si>
  <si>
    <t>A00487</t>
  </si>
  <si>
    <t>A00488</t>
  </si>
  <si>
    <t>A00502</t>
  </si>
  <si>
    <t>A00503</t>
  </si>
  <si>
    <t>A00505</t>
  </si>
  <si>
    <t>A00507</t>
  </si>
  <si>
    <t>A00510</t>
  </si>
  <si>
    <t>A00515</t>
  </si>
  <si>
    <t>A00516</t>
  </si>
  <si>
    <t>A00521</t>
  </si>
  <si>
    <t>A00523</t>
  </si>
  <si>
    <t>A00524</t>
  </si>
  <si>
    <t>A00526</t>
  </si>
  <si>
    <t>A00528</t>
  </si>
  <si>
    <t>A00529</t>
  </si>
  <si>
    <t>A00530</t>
  </si>
  <si>
    <t>A00531</t>
  </si>
  <si>
    <t>A00532</t>
  </si>
  <si>
    <t>A00535</t>
  </si>
  <si>
    <t>A09998</t>
  </si>
  <si>
    <t>ADA MOBILE DATA TERMINALS</t>
  </si>
  <si>
    <t>ADA PARATRANSIT FLEET</t>
  </si>
  <si>
    <t>ADA BROKER EQUIPMENT</t>
  </si>
  <si>
    <t>1% FOR ART PROGRAM</t>
  </si>
  <si>
    <t>TRANSIT ASSET MAINTENANCE</t>
  </si>
  <si>
    <t>INFORMATION SYS PRESERVAT</t>
  </si>
  <si>
    <t>PC REPLACEMENTS</t>
  </si>
  <si>
    <t>BREDA OVERHAUL PLAN</t>
  </si>
  <si>
    <t>NON REVENUE VEHCLE</t>
  </si>
  <si>
    <t>SYSTEM/NETWORK-DB MGMT</t>
  </si>
  <si>
    <t>A00525</t>
  </si>
  <si>
    <t>40 FT DIESEL BUSES</t>
  </si>
  <si>
    <t>ARTICULATED DIESEL BUSES</t>
  </si>
  <si>
    <t>25 FT TRANSIT VANS</t>
  </si>
  <si>
    <t>30 FT DIESEL BUSES</t>
  </si>
  <si>
    <t>40 FT TROLLEY BUSES</t>
  </si>
  <si>
    <t>PROPERTY LEASES</t>
  </si>
  <si>
    <t>CAPITAL OUTLAY</t>
  </si>
  <si>
    <t>AUTOMATED PASSENG. COUNTR</t>
  </si>
  <si>
    <t>OPERATOR COMFORT STATIONS</t>
  </si>
  <si>
    <t>TUNNEL SAFETY &amp; ENHANCMNT</t>
  </si>
  <si>
    <t>KINGDOME MULTIMODAL</t>
  </si>
  <si>
    <t>KING STREET CENTER MISC</t>
  </si>
  <si>
    <t>TRANSIT ORIENTED DEVELOP</t>
  </si>
  <si>
    <t>TDC URBAN AMENITIES</t>
  </si>
  <si>
    <t>ROYAL BROUGHAM PED BRIDGE</t>
  </si>
  <si>
    <t>NORTHGATE TOD PARK &amp; RIDE</t>
  </si>
  <si>
    <t>TRANSIT SECURITY ENHANCE</t>
  </si>
  <si>
    <t>ELLIOTT BAY WATER TAXI</t>
  </si>
  <si>
    <t>TOD - CONVENTION PL CNTR</t>
  </si>
  <si>
    <t>KENT 5TH FLOOR PARKING RAMP</t>
  </si>
  <si>
    <t>BASE PAINT ROOMS</t>
  </si>
  <si>
    <t>BELLEVUE BASE REFURBISH</t>
  </si>
  <si>
    <t>OP FACIL IMPROVEMENTS</t>
  </si>
  <si>
    <t>VAN DISTRIBUTION CENTER</t>
  </si>
  <si>
    <t>OP. FACILITY CAPACITY EXP</t>
  </si>
  <si>
    <t>EMERGENCY CONTROL CENTER</t>
  </si>
  <si>
    <t>REPLACE LK UNION FUEL FAC</t>
  </si>
  <si>
    <t>RYERSON BUS BASE PKG IMPR</t>
  </si>
  <si>
    <t>POWER DISTRIBUTION HDQTRS</t>
  </si>
  <si>
    <t>SOUTH COUNTY BUS BASE</t>
  </si>
  <si>
    <t>MOVE SUPPORT FUNCTIONS</t>
  </si>
  <si>
    <t>COMMUNICATION CENTER RELOC</t>
  </si>
  <si>
    <t>ISSAQUAH PARK &amp; RIDE</t>
  </si>
  <si>
    <t>BUS ZONE SAFETY &amp; ACCESS</t>
  </si>
  <si>
    <t>BUS ZONE COM/SAFETY-6 YR</t>
  </si>
  <si>
    <t>PED/BIKE ACCESS IMPROVMNT</t>
  </si>
  <si>
    <t>RURAL TOWNS PARK &amp; RIDE</t>
  </si>
  <si>
    <t>TRANSIT HUBS-6 YR PLAN</t>
  </si>
  <si>
    <t>BICYCLE STORAGE IMPROVE.</t>
  </si>
  <si>
    <t>CUSTOMER SECURITY</t>
  </si>
  <si>
    <t>P&amp;R CAPACITY ENHANCEMENT</t>
  </si>
  <si>
    <t>UNIV. DIST. STAGING PROJ</t>
  </si>
  <si>
    <t>EASTGATE PARK &amp; RIDE LOT</t>
  </si>
  <si>
    <t>FEDERAL WAY PARK &amp; RIDE</t>
  </si>
  <si>
    <t>ISSAQUAH HIGHLANDS P&amp;R</t>
  </si>
  <si>
    <t>A00506</t>
  </si>
  <si>
    <t>MARION ST TRAN-FERRY CORR</t>
  </si>
  <si>
    <t>SKYWAY PARK &amp; RIDE</t>
  </si>
  <si>
    <t>EZ RIDER I&amp;II-PASS THRU</t>
  </si>
  <si>
    <t>AUTO. TRIP PLNG-PASS THRU</t>
  </si>
  <si>
    <t>REGIONAL FARE COORD-PASS</t>
  </si>
  <si>
    <t>RENTON T/C PASS THRU</t>
  </si>
  <si>
    <t>ROUTE 7 CORRIDOR IMPROVE.</t>
  </si>
  <si>
    <t>HWY 99 N TRANSIT CORRIDOR</t>
  </si>
  <si>
    <t>SEATTLE CORE TR. PRIORITY</t>
  </si>
  <si>
    <t>HWY 99 S TRANSIT CORRIDOR</t>
  </si>
  <si>
    <t>BELLEVUE TRANSIT PRIORITY</t>
  </si>
  <si>
    <t>E. KING CO. TRANSIT IMP</t>
  </si>
  <si>
    <t>REGIONAL SIGNAL PRIORITY</t>
  </si>
  <si>
    <t>SEASHORE TRANSIT IMPROVE.</t>
  </si>
  <si>
    <t>S. KING CO. TRANSIT IMP</t>
  </si>
  <si>
    <t>WEST SEATTLE TRANSIT CORR</t>
  </si>
  <si>
    <t>S&amp;R - TUNNEL CLOSURE</t>
  </si>
  <si>
    <t>AUTOMATED TRIP PLANNING</t>
  </si>
  <si>
    <t>REGIONAL RIDEMATCH SYS</t>
  </si>
  <si>
    <t>ON-BOARD SYSTEM INTEGRATI</t>
  </si>
  <si>
    <t>RIDER INFORMATION SYS</t>
  </si>
  <si>
    <t>CUSTOMER RESPONSE INF SYS</t>
  </si>
  <si>
    <t>REGISTERING FAREBOX SYS</t>
  </si>
  <si>
    <t>REGIONAL FARE COORDINATIO</t>
  </si>
  <si>
    <t>APC SOFTWARE CONVERSION</t>
  </si>
  <si>
    <t>AVL DATA ACCESS PROJECT</t>
  </si>
  <si>
    <t>OPERATIONS SUPPORT SYSTEM</t>
  </si>
  <si>
    <t>TRANSIT SAFETY SYSTEM</t>
  </si>
  <si>
    <t>MAINT. AUTO TRACKING SYS</t>
  </si>
  <si>
    <t>D&amp;C WORK PROCESS CONT SYS</t>
  </si>
  <si>
    <t>RADIO &amp; AVL REPLACEMENT</t>
  </si>
  <si>
    <t>SERVICE QUALITY INFO SYS</t>
  </si>
  <si>
    <t>HASTUS UPGRADE+OTP MODULE</t>
  </si>
  <si>
    <t>RIDESHARE TECHNOLOGY</t>
  </si>
  <si>
    <t>GIS STREET NETWORK</t>
  </si>
  <si>
    <t>TROLLEY MODIFICATIONS</t>
  </si>
  <si>
    <t>SUBSTATIONS RENOVATION</t>
  </si>
  <si>
    <t>ROUTE 36 EXT. TURNBACK</t>
  </si>
  <si>
    <t>CENTRAL SUBSTATION RELOC</t>
  </si>
  <si>
    <t>DUCT RELOCATION</t>
  </si>
  <si>
    <t>BROAD SR STN LEASE RENEW</t>
  </si>
  <si>
    <t>VANPOOL FLEET</t>
  </si>
  <si>
    <t>Total Bud Auth</t>
  </si>
  <si>
    <t>Actuals</t>
  </si>
  <si>
    <t>Check Totals</t>
  </si>
  <si>
    <t>Fund Balance 88888</t>
  </si>
  <si>
    <t>Federal Grant 33381</t>
  </si>
  <si>
    <t>Other Revenue</t>
  </si>
  <si>
    <t>A00541</t>
  </si>
  <si>
    <t>A00561</t>
  </si>
  <si>
    <t>MONTLAKE BIKE STATION</t>
  </si>
  <si>
    <t>A00562</t>
  </si>
  <si>
    <t>A00563</t>
  </si>
  <si>
    <t>Public Transportation CIP</t>
  </si>
  <si>
    <t>($ in 000's)</t>
  </si>
  <si>
    <t>WATERFRONT STREETCAR RELOC</t>
  </si>
  <si>
    <t>2003 CIP Budget</t>
  </si>
  <si>
    <t>A00005</t>
  </si>
  <si>
    <t>MID-LIFE OVERHAUL PLAN</t>
  </si>
  <si>
    <t>IBIS UPGRADE</t>
  </si>
  <si>
    <t>TUNNEL MODS,ENHANCE&amp;RETRO</t>
  </si>
  <si>
    <t>A00560</t>
  </si>
  <si>
    <t>PASS FACILITIES PROJECT FORMATIONS</t>
  </si>
  <si>
    <t>TRANSIT HR DOCUMENT STORAGE</t>
  </si>
  <si>
    <t>NORTH BEND PARK &amp; RIDE</t>
  </si>
  <si>
    <t>A00565</t>
  </si>
  <si>
    <t>BURIEN TRANSIT CENTER</t>
  </si>
  <si>
    <t>A00566</t>
  </si>
  <si>
    <t>PINE ST LINK CONTR - TROLLEY REROUTE</t>
  </si>
  <si>
    <t>A00568</t>
  </si>
  <si>
    <t>ACCESSIBLE TAXIS</t>
  </si>
  <si>
    <t>A00569</t>
  </si>
  <si>
    <t>GREENLAKE P&amp;R IMPROVEMENTS</t>
  </si>
  <si>
    <t>A00570</t>
  </si>
  <si>
    <t>A00009</t>
  </si>
  <si>
    <t>RIDEMATCH MOBILE VAN</t>
  </si>
  <si>
    <t>2003 Revenues (14th Month)</t>
  </si>
  <si>
    <t>2003 Expenditures (14th Month)</t>
  </si>
  <si>
    <t>2004 Beginning Fund Balance</t>
  </si>
  <si>
    <t xml:space="preserve">     Grants</t>
  </si>
  <si>
    <t xml:space="preserve">     Other</t>
  </si>
  <si>
    <t xml:space="preserve">     Total</t>
  </si>
  <si>
    <t>2003 Other Transactions</t>
  </si>
  <si>
    <t>2004 Ending Fund Balance</t>
  </si>
  <si>
    <t>The Transit financial plan is balanced on a cash flow basis rather than a budgetary basis.</t>
  </si>
  <si>
    <t xml:space="preserve">If actual expenditure of budget authority is consistent with the cash flow projection the Transit capital fund balance will be greater than the target amount for each of the six years (2004-2009).   See attached six year plan. </t>
  </si>
  <si>
    <t>2004 Adopted Revenue less revenue to support carryover commitments</t>
  </si>
  <si>
    <t xml:space="preserve">Projected Expenditures 2004 (Cash Flow) </t>
  </si>
  <si>
    <t>The budgetary carryover amount from 2003 into 2004 is $381.8 million.  This amount is relatively high because the hybrid bus contract signed in 2003 required high budget authority approval in 2003 with expenditures scheduled to occur in 2004 and 2005.</t>
  </si>
  <si>
    <t xml:space="preserve">Revenue to support prior commitments (Carryover) </t>
  </si>
  <si>
    <t>Form 5</t>
  </si>
  <si>
    <t>Public Transportation Enterprise Fund</t>
  </si>
  <si>
    <t>2005 proposed Budget</t>
  </si>
  <si>
    <t>Financial Plan</t>
  </si>
  <si>
    <t>Prepared by Duncan Mitchell</t>
  </si>
  <si>
    <t>($ in 000)</t>
  </si>
  <si>
    <t>Account</t>
  </si>
  <si>
    <t>2003      Actual</t>
  </si>
  <si>
    <t>2004 Adopted</t>
  </si>
  <si>
    <t>2004   Forecast</t>
  </si>
  <si>
    <t xml:space="preserve">2005 Proposed </t>
  </si>
  <si>
    <t xml:space="preserve">2006 Projected </t>
  </si>
  <si>
    <t xml:space="preserve">2007 Projected </t>
  </si>
  <si>
    <t xml:space="preserve">2008 Projected </t>
  </si>
  <si>
    <t>2009 Projected</t>
  </si>
  <si>
    <t>2010 Projected</t>
  </si>
  <si>
    <t>2004-2009 Total</t>
  </si>
  <si>
    <t>Beginning Fund Balance</t>
  </si>
  <si>
    <t xml:space="preserve">Revenues </t>
  </si>
  <si>
    <t xml:space="preserve">  Fares</t>
  </si>
  <si>
    <t xml:space="preserve">  Other Operations Revenue</t>
  </si>
  <si>
    <t xml:space="preserve">  Sales Tax </t>
  </si>
  <si>
    <t xml:space="preserve">  Motor Vehicle Excise Tax</t>
  </si>
  <si>
    <t xml:space="preserve">  State Interim Funding</t>
  </si>
  <si>
    <t xml:space="preserve">  FTA Section 9 (Operating)</t>
  </si>
  <si>
    <t xml:space="preserve">  Interest Income</t>
  </si>
  <si>
    <t xml:space="preserve">  Capital Grants</t>
  </si>
  <si>
    <t xml:space="preserve">  Payments from ST; Roads, Fleet, Airport</t>
  </si>
  <si>
    <t xml:space="preserve">  Sound Transit Payments-Capital</t>
  </si>
  <si>
    <t xml:space="preserve">  Miscellaneous</t>
  </si>
  <si>
    <t>Total Revenues</t>
  </si>
  <si>
    <t xml:space="preserve">Expenditures </t>
  </si>
  <si>
    <t xml:space="preserve">    Transit Division</t>
  </si>
  <si>
    <t xml:space="preserve">    Transportation Admin Division</t>
  </si>
  <si>
    <t xml:space="preserve">    Transportation Planning Division</t>
  </si>
  <si>
    <t xml:space="preserve">  Capital</t>
  </si>
  <si>
    <t xml:space="preserve">  Cross Border Lease (Gillig Coaches)</t>
  </si>
  <si>
    <t xml:space="preserve">  Debt Service</t>
  </si>
  <si>
    <t>Total Expenditures</t>
  </si>
  <si>
    <t>Estimated Underexpenditures</t>
  </si>
  <si>
    <t xml:space="preserve">  Operating Program</t>
  </si>
  <si>
    <t xml:space="preserve">  Capital Program</t>
  </si>
  <si>
    <t>Total Estimated Underexpenditures</t>
  </si>
  <si>
    <t>Other Fund Transactions</t>
  </si>
  <si>
    <t>Long Term Debt (Bonds)</t>
  </si>
  <si>
    <t>Short Term Debt (6 Years)</t>
  </si>
  <si>
    <t>CBL Sale of Gilligs</t>
  </si>
  <si>
    <t>Misc Balance Adjustments</t>
  </si>
  <si>
    <t>Total Other Fund Transactions</t>
  </si>
  <si>
    <t>Ending Fund Balance</t>
  </si>
  <si>
    <t>Reserves &amp; Designations</t>
  </si>
  <si>
    <t xml:space="preserve">  30 Day Operating Reserve 5</t>
  </si>
  <si>
    <t xml:space="preserve">  Fare Stabilization &amp; Operating Enhancement Reserve</t>
  </si>
  <si>
    <t xml:space="preserve">  Revenue Fleet Replacement Fund </t>
  </si>
  <si>
    <t xml:space="preserve">* </t>
  </si>
  <si>
    <t>Total Reserves &amp; Designations</t>
  </si>
  <si>
    <t>Ending Undesignated Fund Balance</t>
  </si>
  <si>
    <t>Target Fund Balance 4</t>
  </si>
  <si>
    <t>Financial Plan Notes:</t>
  </si>
  <si>
    <t>1   2003 Actuals are from the 13th month.</t>
  </si>
  <si>
    <t>2   2004 forecast is updated based on 2003 actuals.</t>
  </si>
  <si>
    <t>3   2005-2010 projections are based on future assumptions concerning service levels and the supporting CIP.</t>
  </si>
  <si>
    <t>4   Target Fund Balance is based on formulae established in the financial policies</t>
  </si>
  <si>
    <t>5   Ending fund balances in the operating program are below target levels due to 2003 actual expense not meeting the 1 percent under expenditure target as assumed in the financial plan.</t>
  </si>
  <si>
    <t>6   Ending fund balances in operating program are below target levels as a result of changes made by the King County Council to revise the timing of service increases.</t>
  </si>
  <si>
    <t>2nd Quarter Omnibus:</t>
  </si>
  <si>
    <t>A00488 Issaquah Highlands Park and Ride</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</si>
</sst>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Red]\(#,##0\);0"/>
    <numFmt numFmtId="166" formatCode="#,##0;[Red]\(#,##0\)"/>
    <numFmt numFmtId="167" formatCode="mm/dd/yy_)"/>
    <numFmt numFmtId="168" formatCode="0.0"/>
    <numFmt numFmtId="169" formatCode="_(* #,##0_);_(* \(#,##0\);_(* &quot;-&quot;??_);_(@_)"/>
    <numFmt numFmtId="170" formatCode="#,##0.0_);[Red]\(#,##0.0\)"/>
    <numFmt numFmtId="171" formatCode="#,##0.0_);\(#,##0.0\)"/>
    <numFmt numFmtId="172" formatCode="_(* #,##0.0_);_(* \(#,##0.0\);_(* &quot;-&quot;??_);_(@_)"/>
    <numFmt numFmtId="173" formatCode="_(&quot;$&quot;* #,##0.0_);_(&quot;$&quot;* \(#,##0.0\);_(&quot;$&quot;* &quot;-&quot;??_);_(@_)"/>
    <numFmt numFmtId="174" formatCode="_(&quot;$&quot;* #,##0_);_(&quot;$&quot;* \(#,##0\);_(&quot;$&quot;* &quot;-&quot;??_);_(@_)"/>
    <numFmt numFmtId="175" formatCode="0_)"/>
    <numFmt numFmtId="176" formatCode="dd\-mmm_)"/>
    <numFmt numFmtId="177" formatCode="dd\-mmm\-yy_)"/>
    <numFmt numFmtId="178" formatCode="#,##0.000_);\(#,##0.000\)"/>
    <numFmt numFmtId="179" formatCode="0.0%"/>
    <numFmt numFmtId="180" formatCode="0.0_)"/>
    <numFmt numFmtId="181" formatCode="_(&quot;$&quot;* #,##0.000_);_(&quot;$&quot;* \(#,##0.000\);_(&quot;$&quot;* &quot;-&quot;??_);_(@_)"/>
    <numFmt numFmtId="182" formatCode="_(&quot;$&quot;* #,##0.0000_);_(&quot;$&quot;* \(#,##0.0000\);_(&quot;$&quot;* &quot;-&quot;??_);_(@_)"/>
    <numFmt numFmtId="183" formatCode="_(&quot;$&quot;* #,##0.00000_);_(&quot;$&quot;* \(#,##0.00000\);_(&quot;$&quot;* &quot;-&quot;??_);_(@_)"/>
    <numFmt numFmtId="184" formatCode="_(&quot;$&quot;* #,##0.000000_);_(&quot;$&quot;* \(#,##0.000000\);_(&quot;$&quot;* &quot;-&quot;??_);_(@_)"/>
    <numFmt numFmtId="185" formatCode="_(&quot;$&quot;* #,##0.0000000_);_(&quot;$&quot;* \(#,##0.0000000\);_(&quot;$&quot;* &quot;-&quot;??_);_(@_)"/>
    <numFmt numFmtId="186" formatCode="_(&quot;$&quot;* #,##0.00000000_);_(&quot;$&quot;* \(#,##0.00000000\);_(&quot;$&quot;*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 numFmtId="194" formatCode="_(* #,##0.0000000000_);_(* \(#,##0.0000000000\);_(* &quot;-&quot;??_);_(@_)"/>
    <numFmt numFmtId="195" formatCode="_(* #,##0.00000000000_);_(* \(#,##0.00000000000\);_(* &quot;-&quot;??_);_(@_)"/>
    <numFmt numFmtId="196" formatCode="_(&quot;$&quot;* #,##0.000000000_);_(&quot;$&quot;* \(#,##0.000000000\);_(&quot;$&quot;* &quot;-&quot;??_);_(@_)"/>
    <numFmt numFmtId="197" formatCode="#,##0.0"/>
    <numFmt numFmtId="198" formatCode="0.000"/>
    <numFmt numFmtId="199" formatCode="0.00\(###0.00\)"/>
    <numFmt numFmtId="200" formatCode="#,##0.000"/>
    <numFmt numFmtId="201" formatCode="#,##0.0000"/>
    <numFmt numFmtId="202" formatCode="0%;[Red]\(0%\)"/>
    <numFmt numFmtId="203" formatCode="###,##0;\(###,##0\)"/>
    <numFmt numFmtId="204" formatCode="0.000%"/>
    <numFmt numFmtId="205" formatCode="#,###_);\(#,###\)"/>
    <numFmt numFmtId="206" formatCode="#,###,_);\(#,###,\)"/>
    <numFmt numFmtId="207" formatCode="#,###,_);[Red]\(#,###,\)"/>
    <numFmt numFmtId="208" formatCode="0.00%;\(0.00%\)"/>
    <numFmt numFmtId="209" formatCode="#,##0.0,_);[Red]\(#,##0.0,\)"/>
    <numFmt numFmtId="210" formatCode="0.0000"/>
    <numFmt numFmtId="211" formatCode="&quot;$&quot;#,##0.0_);[Red]\(&quot;$&quot;#,##0.0\)"/>
    <numFmt numFmtId="212" formatCode="&quot;$&quot;#,##0.000_);[Red]\(&quot;$&quot;#,##0.000\)"/>
    <numFmt numFmtId="213" formatCode="&quot;$&quot;#,##0.0000_);[Red]\(&quot;$&quot;#,##0.0000\)"/>
    <numFmt numFmtId="214" formatCode="0_);[Red]\(0\)"/>
    <numFmt numFmtId="215" formatCode="0000"/>
    <numFmt numFmtId="216" formatCode="#,##0.00000_);[Red]\(#,##0.00000\)"/>
  </numFmts>
  <fonts count="25">
    <font>
      <sz val="10"/>
      <color indexed="8"/>
      <name val="MS Sans Serif"/>
      <family val="0"/>
    </font>
    <font>
      <sz val="10"/>
      <color indexed="8"/>
      <name val="Arial"/>
      <family val="0"/>
    </font>
    <font>
      <b/>
      <sz val="10"/>
      <color indexed="8"/>
      <name val="MS Sans Serif"/>
      <family val="2"/>
    </font>
    <font>
      <b/>
      <sz val="14"/>
      <color indexed="8"/>
      <name val="MS Sans Serif"/>
      <family val="2"/>
    </font>
    <font>
      <sz val="10"/>
      <name val="Arial"/>
      <family val="0"/>
    </font>
    <font>
      <b/>
      <sz val="16"/>
      <name val="Arial"/>
      <family val="0"/>
    </font>
    <font>
      <b/>
      <sz val="10"/>
      <name val="Arial"/>
      <family val="0"/>
    </font>
    <font>
      <sz val="14"/>
      <color indexed="10"/>
      <name val="Arial"/>
      <family val="2"/>
    </font>
    <font>
      <sz val="8"/>
      <color indexed="10"/>
      <name val="Arial"/>
      <family val="2"/>
    </font>
    <font>
      <sz val="10"/>
      <color indexed="10"/>
      <name val="Arial"/>
      <family val="0"/>
    </font>
    <font>
      <sz val="8"/>
      <color indexed="10"/>
      <name val="MS Sans Serif"/>
      <family val="0"/>
    </font>
    <font>
      <sz val="10"/>
      <color indexed="10"/>
      <name val="MS Sans Serif"/>
      <family val="0"/>
    </font>
    <font>
      <b/>
      <sz val="8"/>
      <name val="Tahoma"/>
      <family val="0"/>
    </font>
    <font>
      <sz val="8"/>
      <name val="Tahoma"/>
      <family val="0"/>
    </font>
    <font>
      <b/>
      <sz val="10"/>
      <color indexed="8"/>
      <name val="Arial"/>
      <family val="2"/>
    </font>
    <font>
      <sz val="8"/>
      <name val="MS Sans Serif"/>
      <family val="0"/>
    </font>
    <font>
      <sz val="12"/>
      <name val="Times New Roman"/>
      <family val="1"/>
    </font>
    <font>
      <sz val="8"/>
      <name val="Courier New"/>
      <family val="0"/>
    </font>
    <font>
      <b/>
      <sz val="12"/>
      <name val="Times New Roman"/>
      <family val="1"/>
    </font>
    <font>
      <b/>
      <sz val="14"/>
      <name val="Times New Roman"/>
      <family val="1"/>
    </font>
    <font>
      <sz val="14"/>
      <name val="Times New Roman"/>
      <family val="1"/>
    </font>
    <font>
      <b/>
      <sz val="11"/>
      <name val="Times New Roman"/>
      <family val="1"/>
    </font>
    <font>
      <vertAlign val="superscript"/>
      <sz val="12"/>
      <name val="Times New Roman"/>
      <family val="0"/>
    </font>
    <font>
      <u val="single"/>
      <sz val="10"/>
      <name val="Arial"/>
      <family val="0"/>
    </font>
    <font>
      <b/>
      <sz val="8"/>
      <name val="MS Sans Serif"/>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lignment/>
      <protection/>
    </xf>
    <xf numFmtId="37" fontId="16" fillId="0" borderId="0">
      <alignment/>
      <protection/>
    </xf>
    <xf numFmtId="0" fontId="4" fillId="0" borderId="0">
      <alignment/>
      <protection/>
    </xf>
    <xf numFmtId="9" fontId="1" fillId="0" borderId="0" applyFont="0" applyFill="0" applyBorder="0" applyAlignment="0" applyProtection="0"/>
  </cellStyleXfs>
  <cellXfs count="129">
    <xf numFmtId="0" fontId="0" fillId="0" borderId="0" xfId="0" applyAlignment="1">
      <alignment/>
    </xf>
    <xf numFmtId="0" fontId="0" fillId="2" borderId="0" xfId="0" applyFill="1" applyBorder="1" applyAlignment="1">
      <alignment/>
    </xf>
    <xf numFmtId="0" fontId="1" fillId="2" borderId="0" xfId="0" applyFont="1" applyFill="1" applyBorder="1" applyAlignment="1">
      <alignment horizontal="center"/>
    </xf>
    <xf numFmtId="166" fontId="0" fillId="2" borderId="0" xfId="0" applyNumberFormat="1" applyFill="1" applyBorder="1" applyAlignment="1">
      <alignment/>
    </xf>
    <xf numFmtId="0" fontId="3" fillId="2" borderId="0" xfId="0" applyFont="1" applyFill="1" applyBorder="1" applyAlignment="1">
      <alignment horizontal="centerContinuous"/>
    </xf>
    <xf numFmtId="166" fontId="3" fillId="2" borderId="0" xfId="0" applyNumberFormat="1" applyFont="1" applyFill="1" applyBorder="1" applyAlignment="1">
      <alignment horizontal="centerContinuous"/>
    </xf>
    <xf numFmtId="0" fontId="0" fillId="2" borderId="1" xfId="0" applyFill="1" applyBorder="1" applyAlignment="1">
      <alignment/>
    </xf>
    <xf numFmtId="166" fontId="0" fillId="2" borderId="1" xfId="0" applyNumberFormat="1" applyFill="1" applyBorder="1" applyAlignment="1">
      <alignment/>
    </xf>
    <xf numFmtId="0" fontId="2" fillId="2" borderId="2" xfId="0" applyFont="1" applyFill="1" applyBorder="1" applyAlignment="1">
      <alignment/>
    </xf>
    <xf numFmtId="166" fontId="2" fillId="2" borderId="2" xfId="0" applyNumberFormat="1" applyFont="1" applyFill="1" applyBorder="1" applyAlignment="1">
      <alignment/>
    </xf>
    <xf numFmtId="0" fontId="0" fillId="2" borderId="0" xfId="0" applyFill="1" applyBorder="1" applyAlignment="1">
      <alignment horizontal="center"/>
    </xf>
    <xf numFmtId="0" fontId="0" fillId="2" borderId="1" xfId="0" applyFill="1" applyBorder="1" applyAlignment="1">
      <alignment horizontal="center"/>
    </xf>
    <xf numFmtId="0" fontId="1" fillId="2" borderId="3" xfId="0" applyFont="1" applyFill="1" applyBorder="1" applyAlignment="1">
      <alignment horizontal="left" wrapText="1"/>
    </xf>
    <xf numFmtId="0" fontId="1" fillId="2" borderId="3" xfId="0" applyFont="1" applyFill="1" applyBorder="1" applyAlignment="1">
      <alignment horizontal="center" wrapText="1"/>
    </xf>
    <xf numFmtId="166" fontId="1" fillId="2" borderId="3" xfId="0" applyNumberFormat="1" applyFont="1" applyFill="1" applyBorder="1" applyAlignment="1">
      <alignment horizontal="right" wrapText="1"/>
    </xf>
    <xf numFmtId="0" fontId="1" fillId="3" borderId="0" xfId="0" applyFont="1" applyFill="1" applyBorder="1" applyAlignment="1">
      <alignment horizontal="left" wrapText="1"/>
    </xf>
    <xf numFmtId="0" fontId="1" fillId="3" borderId="0" xfId="0" applyFont="1" applyFill="1" applyBorder="1" applyAlignment="1">
      <alignment horizontal="center" wrapText="1"/>
    </xf>
    <xf numFmtId="166" fontId="1" fillId="3" borderId="0" xfId="0" applyNumberFormat="1" applyFont="1" applyFill="1" applyBorder="1" applyAlignment="1">
      <alignment horizontal="right" wrapText="1"/>
    </xf>
    <xf numFmtId="0" fontId="2" fillId="2" borderId="2" xfId="0" applyFont="1" applyFill="1" applyBorder="1" applyAlignment="1">
      <alignment horizontal="center"/>
    </xf>
    <xf numFmtId="0" fontId="5" fillId="0" borderId="0" xfId="21" applyFont="1" applyAlignment="1">
      <alignment horizontal="centerContinuous"/>
      <protection/>
    </xf>
    <xf numFmtId="0" fontId="4" fillId="0" borderId="0" xfId="21" applyAlignment="1">
      <alignment horizontal="centerContinuous"/>
      <protection/>
    </xf>
    <xf numFmtId="169" fontId="4" fillId="0" borderId="0" xfId="15" applyNumberFormat="1" applyAlignment="1">
      <alignment horizontal="centerContinuous"/>
    </xf>
    <xf numFmtId="0" fontId="4" fillId="0" borderId="0" xfId="21">
      <alignment/>
      <protection/>
    </xf>
    <xf numFmtId="0" fontId="6" fillId="0" borderId="0" xfId="21" applyFont="1">
      <alignment/>
      <protection/>
    </xf>
    <xf numFmtId="0" fontId="4" fillId="0" borderId="4" xfId="21" applyBorder="1">
      <alignment/>
      <protection/>
    </xf>
    <xf numFmtId="169" fontId="4" fillId="0" borderId="0" xfId="15" applyNumberFormat="1" applyAlignment="1">
      <alignment/>
    </xf>
    <xf numFmtId="0" fontId="4" fillId="0" borderId="5" xfId="21" applyFont="1" applyBorder="1">
      <alignment/>
      <protection/>
    </xf>
    <xf numFmtId="0" fontId="4" fillId="0" borderId="6" xfId="21" applyBorder="1">
      <alignment/>
      <protection/>
    </xf>
    <xf numFmtId="169" fontId="6" fillId="0" borderId="7" xfId="15" applyNumberFormat="1" applyFont="1" applyBorder="1" applyAlignment="1">
      <alignment/>
    </xf>
    <xf numFmtId="0" fontId="4" fillId="0" borderId="0" xfId="21" applyFont="1">
      <alignment/>
      <protection/>
    </xf>
    <xf numFmtId="0" fontId="4" fillId="0" borderId="0" xfId="21" applyFont="1" applyBorder="1">
      <alignment/>
      <protection/>
    </xf>
    <xf numFmtId="0" fontId="4" fillId="0" borderId="0" xfId="21" applyBorder="1">
      <alignment/>
      <protection/>
    </xf>
    <xf numFmtId="169" fontId="4" fillId="0" borderId="3" xfId="15" applyNumberFormat="1" applyBorder="1" applyAlignment="1">
      <alignment/>
    </xf>
    <xf numFmtId="169" fontId="6" fillId="0" borderId="1" xfId="15" applyNumberFormat="1" applyFont="1" applyBorder="1" applyAlignment="1">
      <alignment/>
    </xf>
    <xf numFmtId="169" fontId="6" fillId="0" borderId="0" xfId="15" applyNumberFormat="1" applyFont="1" applyAlignment="1">
      <alignment/>
    </xf>
    <xf numFmtId="0" fontId="4" fillId="0" borderId="8" xfId="21" applyFont="1" applyBorder="1">
      <alignment/>
      <protection/>
    </xf>
    <xf numFmtId="0" fontId="4" fillId="0" borderId="9" xfId="21" applyBorder="1">
      <alignment/>
      <protection/>
    </xf>
    <xf numFmtId="169" fontId="6" fillId="0" borderId="10" xfId="15" applyNumberFormat="1" applyFont="1" applyBorder="1" applyAlignment="1">
      <alignment/>
    </xf>
    <xf numFmtId="0" fontId="4" fillId="0" borderId="11" xfId="21" applyFont="1" applyBorder="1">
      <alignment/>
      <protection/>
    </xf>
    <xf numFmtId="0" fontId="4" fillId="0" borderId="12" xfId="21" applyBorder="1">
      <alignment/>
      <protection/>
    </xf>
    <xf numFmtId="174" fontId="6" fillId="0" borderId="13" xfId="17" applyNumberFormat="1" applyFont="1" applyBorder="1" applyAlignment="1">
      <alignment/>
    </xf>
    <xf numFmtId="0" fontId="1" fillId="3" borderId="0" xfId="0" applyFont="1" applyFill="1" applyBorder="1" applyAlignment="1" quotePrefix="1">
      <alignment horizontal="left" wrapText="1"/>
    </xf>
    <xf numFmtId="166" fontId="1" fillId="2" borderId="3" xfId="0" applyNumberFormat="1" applyFont="1" applyFill="1" applyBorder="1" applyAlignment="1">
      <alignment horizontal="center" wrapText="1"/>
    </xf>
    <xf numFmtId="0" fontId="7" fillId="0" borderId="0" xfId="21" applyFont="1">
      <alignment/>
      <protection/>
    </xf>
    <xf numFmtId="0" fontId="1" fillId="2" borderId="0" xfId="0" applyFont="1" applyFill="1" applyBorder="1" applyAlignment="1">
      <alignment horizontal="left" wrapText="1"/>
    </xf>
    <xf numFmtId="166" fontId="1" fillId="2" borderId="0" xfId="0" applyNumberFormat="1" applyFont="1" applyFill="1" applyBorder="1" applyAlignment="1">
      <alignment horizontal="right" wrapText="1"/>
    </xf>
    <xf numFmtId="0" fontId="9" fillId="0" borderId="0" xfId="21" applyFont="1">
      <alignment/>
      <protection/>
    </xf>
    <xf numFmtId="0" fontId="8" fillId="0" borderId="0" xfId="21" applyFont="1">
      <alignment/>
      <protection/>
    </xf>
    <xf numFmtId="0" fontId="0" fillId="2" borderId="0" xfId="0" applyFill="1" applyBorder="1" applyAlignment="1">
      <alignment horizontal="left"/>
    </xf>
    <xf numFmtId="166" fontId="0" fillId="2" borderId="0" xfId="0" applyNumberFormat="1" applyFill="1" applyBorder="1" applyAlignment="1">
      <alignment horizontal="center"/>
    </xf>
    <xf numFmtId="169" fontId="4" fillId="0" borderId="0" xfId="15" applyNumberFormat="1" applyFont="1" applyAlignment="1">
      <alignment/>
    </xf>
    <xf numFmtId="0" fontId="4" fillId="0" borderId="0" xfId="21" applyFont="1" quotePrefix="1">
      <alignment/>
      <protection/>
    </xf>
    <xf numFmtId="166" fontId="14" fillId="3" borderId="2" xfId="0" applyNumberFormat="1" applyFont="1" applyFill="1" applyBorder="1" applyAlignment="1">
      <alignment horizontal="right" wrapText="1"/>
    </xf>
    <xf numFmtId="0" fontId="1" fillId="2" borderId="0" xfId="0" applyFont="1" applyFill="1" applyBorder="1" applyAlignment="1" quotePrefix="1">
      <alignment horizontal="left" wrapText="1"/>
    </xf>
    <xf numFmtId="0" fontId="1" fillId="2" borderId="0" xfId="0" applyFont="1" applyFill="1" applyBorder="1" applyAlignment="1">
      <alignment horizontal="center" wrapText="1"/>
    </xf>
    <xf numFmtId="0" fontId="11" fillId="0" borderId="0" xfId="0" applyFont="1" applyAlignment="1">
      <alignment wrapText="1"/>
    </xf>
    <xf numFmtId="37" fontId="18" fillId="0" borderId="0" xfId="20" applyFont="1" applyBorder="1" applyAlignment="1">
      <alignment horizontal="centerContinuous" wrapText="1"/>
      <protection/>
    </xf>
    <xf numFmtId="38" fontId="16" fillId="0" borderId="0" xfId="20" applyNumberFormat="1" applyFont="1" applyBorder="1" applyAlignment="1">
      <alignment horizontal="centerContinuous" wrapText="1"/>
      <protection/>
    </xf>
    <xf numFmtId="38" fontId="18" fillId="0" borderId="0" xfId="20" applyNumberFormat="1" applyFont="1" applyBorder="1" applyAlignment="1">
      <alignment horizontal="centerContinuous" wrapText="1"/>
      <protection/>
    </xf>
    <xf numFmtId="0" fontId="16" fillId="0" borderId="0" xfId="19" applyFont="1" applyBorder="1">
      <alignment/>
      <protection/>
    </xf>
    <xf numFmtId="37" fontId="19" fillId="0" borderId="0" xfId="20" applyFont="1" applyBorder="1" applyAlignment="1">
      <alignment horizontal="centerContinuous" wrapText="1"/>
      <protection/>
    </xf>
    <xf numFmtId="38" fontId="20" fillId="0" borderId="0" xfId="20" applyNumberFormat="1" applyFont="1" applyBorder="1" applyAlignment="1">
      <alignment horizontal="centerContinuous" wrapText="1"/>
      <protection/>
    </xf>
    <xf numFmtId="38" fontId="19" fillId="0" borderId="0" xfId="20" applyNumberFormat="1" applyFont="1" applyBorder="1" applyAlignment="1">
      <alignment horizontal="centerContinuous" wrapText="1"/>
      <protection/>
    </xf>
    <xf numFmtId="0" fontId="20" fillId="0" borderId="0" xfId="19" applyFont="1" applyBorder="1">
      <alignment/>
      <protection/>
    </xf>
    <xf numFmtId="37" fontId="19" fillId="0" borderId="0" xfId="20" applyFont="1" applyFill="1" applyBorder="1" applyAlignment="1">
      <alignment horizontal="centerContinuous" wrapText="1"/>
      <protection/>
    </xf>
    <xf numFmtId="38" fontId="20" fillId="0" borderId="0" xfId="20" applyNumberFormat="1" applyFont="1" applyFill="1" applyBorder="1" applyAlignment="1">
      <alignment horizontal="centerContinuous" wrapText="1"/>
      <protection/>
    </xf>
    <xf numFmtId="38" fontId="19" fillId="0" borderId="0" xfId="20" applyNumberFormat="1" applyFont="1" applyFill="1" applyBorder="1" applyAlignment="1">
      <alignment horizontal="centerContinuous" wrapText="1"/>
      <protection/>
    </xf>
    <xf numFmtId="0" fontId="20" fillId="0" borderId="0" xfId="19" applyFont="1" applyFill="1" applyBorder="1">
      <alignment/>
      <protection/>
    </xf>
    <xf numFmtId="37" fontId="21" fillId="0" borderId="0" xfId="20" applyFont="1" applyBorder="1" applyAlignment="1">
      <alignment horizontal="right" wrapText="1"/>
      <protection/>
    </xf>
    <xf numFmtId="38" fontId="16" fillId="0" borderId="0" xfId="20" applyNumberFormat="1" applyFont="1">
      <alignment/>
      <protection/>
    </xf>
    <xf numFmtId="0" fontId="16" fillId="0" borderId="0" xfId="19" applyFont="1">
      <alignment/>
      <protection/>
    </xf>
    <xf numFmtId="37" fontId="18" fillId="0" borderId="14" xfId="20" applyFont="1" applyFill="1" applyBorder="1" applyAlignment="1">
      <alignment horizontal="center" wrapText="1"/>
      <protection/>
    </xf>
    <xf numFmtId="38" fontId="18" fillId="0" borderId="14" xfId="20" applyNumberFormat="1" applyFont="1" applyFill="1" applyBorder="1" applyAlignment="1">
      <alignment horizontal="centerContinuous" wrapText="1"/>
      <protection/>
    </xf>
    <xf numFmtId="0" fontId="16" fillId="0" borderId="0" xfId="19" applyFont="1" applyFill="1">
      <alignment/>
      <protection/>
    </xf>
    <xf numFmtId="37" fontId="18" fillId="0" borderId="15" xfId="20" applyFont="1" applyBorder="1" applyAlignment="1">
      <alignment horizontal="left"/>
      <protection/>
    </xf>
    <xf numFmtId="38" fontId="16" fillId="0" borderId="15" xfId="15" applyNumberFormat="1" applyFont="1" applyBorder="1" applyAlignment="1">
      <alignment/>
    </xf>
    <xf numFmtId="37" fontId="18" fillId="0" borderId="16" xfId="20" applyFont="1" applyBorder="1" applyAlignment="1">
      <alignment horizontal="left"/>
      <protection/>
    </xf>
    <xf numFmtId="38" fontId="16" fillId="0" borderId="17" xfId="15" applyNumberFormat="1" applyFont="1" applyBorder="1" applyAlignment="1">
      <alignment/>
    </xf>
    <xf numFmtId="37" fontId="16" fillId="0" borderId="16" xfId="20" applyFont="1" applyBorder="1" applyAlignment="1">
      <alignment horizontal="left"/>
      <protection/>
    </xf>
    <xf numFmtId="38" fontId="16" fillId="0" borderId="16" xfId="15" applyNumberFormat="1" applyFont="1" applyBorder="1" applyAlignment="1">
      <alignment/>
    </xf>
    <xf numFmtId="38" fontId="16" fillId="0" borderId="15" xfId="15" applyNumberFormat="1" applyFont="1" applyBorder="1" applyAlignment="1">
      <alignment/>
    </xf>
    <xf numFmtId="0" fontId="18" fillId="0" borderId="18" xfId="19" applyFont="1" applyBorder="1">
      <alignment/>
      <protection/>
    </xf>
    <xf numFmtId="38" fontId="16" fillId="4" borderId="17" xfId="15" applyNumberFormat="1" applyFont="1" applyFill="1" applyBorder="1" applyAlignment="1">
      <alignment/>
    </xf>
    <xf numFmtId="38" fontId="16" fillId="0" borderId="17" xfId="15" applyNumberFormat="1" applyFont="1" applyFill="1" applyBorder="1" applyAlignment="1">
      <alignment/>
    </xf>
    <xf numFmtId="0" fontId="16" fillId="0" borderId="19" xfId="19" applyFont="1" applyBorder="1">
      <alignment/>
      <protection/>
    </xf>
    <xf numFmtId="38" fontId="16" fillId="4" borderId="16" xfId="15" applyNumberFormat="1" applyFont="1" applyFill="1" applyBorder="1" applyAlignment="1">
      <alignment/>
    </xf>
    <xf numFmtId="38" fontId="16" fillId="0" borderId="16" xfId="15" applyNumberFormat="1" applyFont="1" applyFill="1" applyBorder="1" applyAlignment="1">
      <alignment/>
    </xf>
    <xf numFmtId="38" fontId="16" fillId="0" borderId="0" xfId="19" applyNumberFormat="1" applyFont="1">
      <alignment/>
      <protection/>
    </xf>
    <xf numFmtId="0" fontId="18" fillId="0" borderId="20" xfId="19" applyFont="1" applyBorder="1">
      <alignment/>
      <protection/>
    </xf>
    <xf numFmtId="38" fontId="16" fillId="4" borderId="15" xfId="15" applyNumberFormat="1" applyFont="1" applyFill="1" applyBorder="1" applyAlignment="1">
      <alignment/>
    </xf>
    <xf numFmtId="38" fontId="16" fillId="0" borderId="15" xfId="15" applyNumberFormat="1" applyFont="1" applyFill="1" applyBorder="1" applyAlignment="1">
      <alignment/>
    </xf>
    <xf numFmtId="37" fontId="18" fillId="0" borderId="19" xfId="20" applyFont="1" applyBorder="1" applyAlignment="1">
      <alignment horizontal="left"/>
      <protection/>
    </xf>
    <xf numFmtId="37" fontId="16" fillId="0" borderId="21" xfId="19" applyNumberFormat="1" applyFont="1" applyBorder="1">
      <alignment/>
      <protection/>
    </xf>
    <xf numFmtId="37" fontId="18" fillId="0" borderId="20" xfId="20" applyFont="1" applyBorder="1" applyAlignment="1">
      <alignment horizontal="left"/>
      <protection/>
    </xf>
    <xf numFmtId="38" fontId="16" fillId="0" borderId="15" xfId="19" applyNumberFormat="1" applyFont="1" applyBorder="1">
      <alignment/>
      <protection/>
    </xf>
    <xf numFmtId="37" fontId="18" fillId="0" borderId="20" xfId="20" applyFont="1" applyBorder="1" applyAlignment="1">
      <alignment horizontal="left"/>
      <protection/>
    </xf>
    <xf numFmtId="38" fontId="16" fillId="0" borderId="19" xfId="15" applyNumberFormat="1" applyFont="1" applyBorder="1" applyAlignment="1">
      <alignment/>
    </xf>
    <xf numFmtId="0" fontId="16" fillId="0" borderId="17" xfId="19" applyFont="1" applyBorder="1">
      <alignment/>
      <protection/>
    </xf>
    <xf numFmtId="169" fontId="16" fillId="0" borderId="21" xfId="15" applyNumberFormat="1" applyFont="1" applyBorder="1" applyAlignment="1">
      <alignment/>
    </xf>
    <xf numFmtId="169" fontId="16" fillId="0" borderId="16" xfId="19" applyNumberFormat="1" applyFont="1" applyBorder="1">
      <alignment/>
      <protection/>
    </xf>
    <xf numFmtId="0" fontId="16" fillId="0" borderId="16" xfId="19" applyFont="1" applyBorder="1">
      <alignment/>
      <protection/>
    </xf>
    <xf numFmtId="37" fontId="18" fillId="0" borderId="15" xfId="20" applyFont="1" applyBorder="1" applyAlignment="1">
      <alignment horizontal="left"/>
      <protection/>
    </xf>
    <xf numFmtId="169" fontId="16" fillId="0" borderId="15" xfId="15" applyNumberFormat="1" applyFont="1" applyBorder="1" applyAlignment="1">
      <alignment/>
    </xf>
    <xf numFmtId="37" fontId="16" fillId="0" borderId="0" xfId="20" applyFont="1" applyBorder="1" applyAlignment="1">
      <alignment horizontal="left"/>
      <protection/>
    </xf>
    <xf numFmtId="38" fontId="16" fillId="0" borderId="0" xfId="15" applyNumberFormat="1" applyFont="1" applyBorder="1" applyAlignment="1">
      <alignment/>
    </xf>
    <xf numFmtId="37" fontId="18" fillId="0" borderId="5" xfId="20" applyFont="1" applyBorder="1" applyAlignment="1">
      <alignment horizontal="left"/>
      <protection/>
    </xf>
    <xf numFmtId="38" fontId="18" fillId="0" borderId="14" xfId="15" applyNumberFormat="1" applyFont="1" applyBorder="1" applyAlignment="1">
      <alignment horizontal="right"/>
    </xf>
    <xf numFmtId="0" fontId="18" fillId="0" borderId="0" xfId="19" applyFont="1">
      <alignment/>
      <protection/>
    </xf>
    <xf numFmtId="37" fontId="16" fillId="0" borderId="0" xfId="20" applyFont="1">
      <alignment/>
      <protection/>
    </xf>
    <xf numFmtId="37" fontId="18" fillId="0" borderId="0" xfId="20" applyFont="1" applyAlignment="1">
      <alignment horizontal="left"/>
      <protection/>
    </xf>
    <xf numFmtId="37" fontId="22" fillId="0" borderId="0" xfId="20" applyFont="1" applyBorder="1" applyAlignment="1">
      <alignment horizontal="left"/>
      <protection/>
    </xf>
    <xf numFmtId="38" fontId="16" fillId="0" borderId="0" xfId="20" applyNumberFormat="1" applyFont="1" applyBorder="1">
      <alignment/>
      <protection/>
    </xf>
    <xf numFmtId="37" fontId="22" fillId="0" borderId="0" xfId="20" applyFont="1" applyBorder="1" applyAlignment="1">
      <alignment horizontal="left" vertical="top"/>
      <protection/>
    </xf>
    <xf numFmtId="38" fontId="16" fillId="0" borderId="0" xfId="19" applyNumberFormat="1" applyFont="1" applyAlignment="1">
      <alignment horizontal="centerContinuous" wrapText="1"/>
      <protection/>
    </xf>
    <xf numFmtId="0" fontId="22" fillId="0" borderId="0" xfId="19" applyFont="1" applyAlignment="1">
      <alignment horizontal="left"/>
      <protection/>
    </xf>
    <xf numFmtId="38" fontId="16" fillId="0" borderId="0" xfId="20" applyNumberFormat="1" applyFont="1" applyBorder="1" applyAlignment="1">
      <alignment horizontal="left" vertical="top"/>
      <protection/>
    </xf>
    <xf numFmtId="0" fontId="16" fillId="0" borderId="0" xfId="19" applyFont="1" applyAlignment="1">
      <alignment horizontal="right"/>
      <protection/>
    </xf>
    <xf numFmtId="38" fontId="16" fillId="0" borderId="0" xfId="19" applyNumberFormat="1" applyFont="1" applyAlignment="1">
      <alignment horizontal="right"/>
      <protection/>
    </xf>
    <xf numFmtId="38" fontId="16" fillId="0" borderId="0" xfId="19" applyNumberFormat="1" applyFont="1" applyAlignment="1">
      <alignment horizontal="center"/>
      <protection/>
    </xf>
    <xf numFmtId="0" fontId="6" fillId="0" borderId="4" xfId="21" applyFont="1" applyBorder="1">
      <alignment/>
      <protection/>
    </xf>
    <xf numFmtId="0" fontId="23" fillId="0" borderId="4" xfId="21" applyFont="1" applyBorder="1">
      <alignment/>
      <protection/>
    </xf>
    <xf numFmtId="169" fontId="23" fillId="0" borderId="4" xfId="15" applyNumberFormat="1" applyFont="1" applyBorder="1" applyAlignment="1">
      <alignment/>
    </xf>
    <xf numFmtId="0" fontId="4" fillId="0" borderId="0" xfId="21" applyFont="1" applyAlignment="1">
      <alignment wrapText="1"/>
      <protection/>
    </xf>
    <xf numFmtId="0" fontId="0" fillId="0" borderId="0" xfId="0" applyAlignment="1">
      <alignment wrapText="1"/>
    </xf>
    <xf numFmtId="0" fontId="8" fillId="0" borderId="0" xfId="21" applyFont="1" applyAlignment="1">
      <alignment wrapText="1"/>
      <protection/>
    </xf>
    <xf numFmtId="0" fontId="10" fillId="0" borderId="0" xfId="0" applyFont="1" applyAlignment="1">
      <alignment wrapText="1"/>
    </xf>
    <xf numFmtId="0" fontId="8" fillId="0" borderId="0" xfId="21" applyFont="1" applyAlignment="1">
      <alignment wrapText="1"/>
      <protection/>
    </xf>
    <xf numFmtId="0" fontId="11" fillId="0" borderId="0" xfId="0" applyFont="1" applyAlignment="1">
      <alignment wrapText="1"/>
    </xf>
    <xf numFmtId="0" fontId="0" fillId="0" borderId="0" xfId="0" applyAlignment="1">
      <alignment/>
    </xf>
  </cellXfs>
  <cellStyles count="9">
    <cellStyle name="Normal" xfId="0"/>
    <cellStyle name="Comma" xfId="15"/>
    <cellStyle name="Comma [0]" xfId="16"/>
    <cellStyle name="Currency" xfId="17"/>
    <cellStyle name="Currency [0]" xfId="18"/>
    <cellStyle name="Normal_2000budforms" xfId="19"/>
    <cellStyle name="Normal_AIRPLAN.XLS" xfId="20"/>
    <cellStyle name="Normal_FinPla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4%20Proposed\Transit%205%2018%20fin%20plans%20with%20cap%20ad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CF05P003"/>
      <sheetName val="Form5FinPlan"/>
      <sheetName val="Form5- PTF"/>
      <sheetName val="Form5- Operating"/>
      <sheetName val="Form5- Capital"/>
      <sheetName val="Form5-RFRF"/>
      <sheetName val="Form5-CBL"/>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8">
          <cell r="C8">
            <v>26418.414469999872</v>
          </cell>
          <cell r="D8">
            <v>28869.733491590625</v>
          </cell>
          <cell r="E8">
            <v>24222.767429999796</v>
          </cell>
          <cell r="F8">
            <v>29373.885969514573</v>
          </cell>
          <cell r="G8">
            <v>28841.764759293488</v>
          </cell>
          <cell r="H8">
            <v>27374.30510429231</v>
          </cell>
          <cell r="I8">
            <v>24854.9501298693</v>
          </cell>
          <cell r="J8">
            <v>22779.910560405544</v>
          </cell>
          <cell r="K8">
            <v>20112.28781784194</v>
          </cell>
        </row>
        <row r="9">
          <cell r="C9">
            <v>0</v>
          </cell>
          <cell r="D9">
            <v>0</v>
          </cell>
          <cell r="E9">
            <v>0</v>
          </cell>
          <cell r="F9">
            <v>0</v>
          </cell>
          <cell r="G9">
            <v>0</v>
          </cell>
          <cell r="H9">
            <v>0</v>
          </cell>
          <cell r="I9">
            <v>0</v>
          </cell>
          <cell r="J9">
            <v>0</v>
          </cell>
          <cell r="K9">
            <v>0</v>
          </cell>
        </row>
        <row r="10">
          <cell r="C10">
            <v>80042.3141459657</v>
          </cell>
          <cell r="D10">
            <v>98203.17764493037</v>
          </cell>
          <cell r="E10">
            <v>100914.34427596569</v>
          </cell>
          <cell r="F10">
            <v>107531.28209361027</v>
          </cell>
          <cell r="G10">
            <v>25647.784632506256</v>
          </cell>
          <cell r="H10">
            <v>42304.21458570918</v>
          </cell>
          <cell r="I10">
            <v>41243.86714205842</v>
          </cell>
          <cell r="J10">
            <v>62600.41673755902</v>
          </cell>
          <cell r="K10">
            <v>88477.89004348834</v>
          </cell>
        </row>
        <row r="11">
          <cell r="C11">
            <v>157663.5541206635</v>
          </cell>
          <cell r="D11">
            <v>104887.86889056119</v>
          </cell>
          <cell r="E11">
            <v>96573.91277109686</v>
          </cell>
          <cell r="F11">
            <v>115072.96241382671</v>
          </cell>
          <cell r="G11">
            <v>63898.98103559961</v>
          </cell>
          <cell r="H11">
            <v>23792.629640097148</v>
          </cell>
          <cell r="I11">
            <v>22125.576668213052</v>
          </cell>
          <cell r="J11">
            <v>23639.26334266633</v>
          </cell>
          <cell r="K11">
            <v>24370.80819473975</v>
          </cell>
        </row>
        <row r="12">
          <cell r="C12">
            <v>37052.18856459881</v>
          </cell>
          <cell r="D12">
            <v>24315.65729490699</v>
          </cell>
          <cell r="E12">
            <v>26071.73748387168</v>
          </cell>
          <cell r="F12">
            <v>9584.860116391734</v>
          </cell>
          <cell r="G12">
            <v>-3.637978807091713E-12</v>
          </cell>
          <cell r="H12">
            <v>-3.637978807091713E-12</v>
          </cell>
          <cell r="I12">
            <v>-3.637978807091713E-12</v>
          </cell>
          <cell r="J12">
            <v>-3.637978807091713E-12</v>
          </cell>
          <cell r="K12">
            <v>-3.637978807091713E-12</v>
          </cell>
        </row>
        <row r="15">
          <cell r="C15">
            <v>67862.26563</v>
          </cell>
          <cell r="D15">
            <v>71156.774</v>
          </cell>
          <cell r="E15">
            <v>71060.7112</v>
          </cell>
          <cell r="F15">
            <v>71912.8812</v>
          </cell>
          <cell r="G15">
            <v>72847.1694</v>
          </cell>
          <cell r="H15">
            <v>78845.97126</v>
          </cell>
          <cell r="I15">
            <v>87746.05182</v>
          </cell>
          <cell r="J15">
            <v>88862.74452</v>
          </cell>
          <cell r="K15">
            <v>89784.67582</v>
          </cell>
        </row>
        <row r="16">
          <cell r="C16">
            <v>10402.470080000001</v>
          </cell>
          <cell r="D16">
            <v>11302.347153123845</v>
          </cell>
          <cell r="E16">
            <v>11405.313781438246</v>
          </cell>
          <cell r="F16">
            <v>13081.922050596566</v>
          </cell>
          <cell r="G16">
            <v>13967.561830923763</v>
          </cell>
          <cell r="H16">
            <v>12377.117307708835</v>
          </cell>
          <cell r="I16">
            <v>13216.674538583964</v>
          </cell>
          <cell r="J16">
            <v>13553.549326105473</v>
          </cell>
          <cell r="K16">
            <v>14245.25932680208</v>
          </cell>
        </row>
        <row r="17">
          <cell r="C17">
            <v>298752.50105333334</v>
          </cell>
          <cell r="D17">
            <v>308041.442407122</v>
          </cell>
          <cell r="E17">
            <v>308790.5850887254</v>
          </cell>
          <cell r="F17">
            <v>323983.08187509066</v>
          </cell>
          <cell r="G17">
            <v>344394.0160332214</v>
          </cell>
          <cell r="H17">
            <v>366986.2634850008</v>
          </cell>
          <cell r="I17">
            <v>389629.31594202534</v>
          </cell>
          <cell r="J17">
            <v>410006.9291657933</v>
          </cell>
          <cell r="K17">
            <v>428662.2444428369</v>
          </cell>
        </row>
        <row r="18">
          <cell r="C18">
            <v>0</v>
          </cell>
          <cell r="D18">
            <v>0</v>
          </cell>
          <cell r="E18">
            <v>0</v>
          </cell>
          <cell r="F18">
            <v>0</v>
          </cell>
          <cell r="G18">
            <v>0</v>
          </cell>
          <cell r="H18">
            <v>0</v>
          </cell>
          <cell r="I18">
            <v>0</v>
          </cell>
          <cell r="J18">
            <v>0</v>
          </cell>
          <cell r="K18">
            <v>0</v>
          </cell>
        </row>
        <row r="19">
          <cell r="C19">
            <v>0</v>
          </cell>
          <cell r="D19">
            <v>0</v>
          </cell>
          <cell r="E19">
            <v>0</v>
          </cell>
          <cell r="F19">
            <v>0</v>
          </cell>
          <cell r="G19">
            <v>0</v>
          </cell>
          <cell r="H19">
            <v>0</v>
          </cell>
          <cell r="I19">
            <v>0</v>
          </cell>
          <cell r="J19">
            <v>0</v>
          </cell>
          <cell r="K19">
            <v>0</v>
          </cell>
        </row>
        <row r="20">
          <cell r="C20">
            <v>0</v>
          </cell>
          <cell r="D20">
            <v>0</v>
          </cell>
          <cell r="E20">
            <v>0</v>
          </cell>
          <cell r="F20">
            <v>0</v>
          </cell>
          <cell r="G20">
            <v>0</v>
          </cell>
          <cell r="H20">
            <v>0</v>
          </cell>
          <cell r="I20">
            <v>0</v>
          </cell>
          <cell r="J20">
            <v>0</v>
          </cell>
          <cell r="K20">
            <v>0</v>
          </cell>
        </row>
        <row r="21">
          <cell r="C21">
            <v>9156.6262</v>
          </cell>
          <cell r="D21">
            <v>5610.0688518915085</v>
          </cell>
          <cell r="E21">
            <v>5718.991092049297</v>
          </cell>
          <cell r="F21">
            <v>7187.12160642717</v>
          </cell>
          <cell r="G21">
            <v>3736.4307070094583</v>
          </cell>
          <cell r="H21">
            <v>3796.1495313575374</v>
          </cell>
          <cell r="I21">
            <v>4149.698546138079</v>
          </cell>
          <cell r="J21">
            <v>5132.434928966504</v>
          </cell>
          <cell r="K21">
            <v>6338.513051546785</v>
          </cell>
        </row>
        <row r="22">
          <cell r="C22">
            <v>59733.897</v>
          </cell>
          <cell r="D22">
            <v>81838.19514822401</v>
          </cell>
          <cell r="E22">
            <v>88804.42914822401</v>
          </cell>
          <cell r="F22">
            <v>69417.43586891063</v>
          </cell>
          <cell r="G22">
            <v>26208.485999999997</v>
          </cell>
          <cell r="H22">
            <v>21734.97362191502</v>
          </cell>
          <cell r="I22">
            <v>18500</v>
          </cell>
          <cell r="J22">
            <v>16000</v>
          </cell>
          <cell r="K22">
            <v>27165.05213451587</v>
          </cell>
        </row>
        <row r="23">
          <cell r="C23">
            <v>23446.48189</v>
          </cell>
          <cell r="D23">
            <v>25170.099899999997</v>
          </cell>
          <cell r="E23">
            <v>25170.099899999997</v>
          </cell>
          <cell r="F23">
            <v>26683.455033999995</v>
          </cell>
          <cell r="G23">
            <v>29287.319866352005</v>
          </cell>
          <cell r="H23">
            <v>30285.41159460986</v>
          </cell>
          <cell r="I23">
            <v>31170.215611767573</v>
          </cell>
          <cell r="J23">
            <v>32714.225792649504</v>
          </cell>
          <cell r="K23">
            <v>34021.23129003173</v>
          </cell>
        </row>
        <row r="24">
          <cell r="C24">
            <v>38.7061</v>
          </cell>
          <cell r="D24">
            <v>0</v>
          </cell>
          <cell r="E24">
            <v>0</v>
          </cell>
          <cell r="F24">
            <v>0</v>
          </cell>
          <cell r="G24">
            <v>0</v>
          </cell>
          <cell r="H24">
            <v>0</v>
          </cell>
          <cell r="I24">
            <v>0</v>
          </cell>
          <cell r="J24">
            <v>0</v>
          </cell>
          <cell r="K24">
            <v>0</v>
          </cell>
        </row>
        <row r="25">
          <cell r="C25">
            <v>17990.9827</v>
          </cell>
          <cell r="D25">
            <v>26977.867773891954</v>
          </cell>
          <cell r="E25">
            <v>26984.859488844424</v>
          </cell>
          <cell r="F25">
            <v>20540.033582185642</v>
          </cell>
          <cell r="G25">
            <v>11840.738940656156</v>
          </cell>
          <cell r="H25">
            <v>10337.617725188135</v>
          </cell>
          <cell r="I25">
            <v>10619.73130414014</v>
          </cell>
          <cell r="J25">
            <v>10878.380022623303</v>
          </cell>
          <cell r="K25">
            <v>11250.944758647891</v>
          </cell>
        </row>
        <row r="28">
          <cell r="C28">
            <v>0</v>
          </cell>
          <cell r="D28">
            <v>50000</v>
          </cell>
          <cell r="E28">
            <v>50000</v>
          </cell>
          <cell r="F28">
            <v>26500</v>
          </cell>
          <cell r="G28">
            <v>10500</v>
          </cell>
          <cell r="H28">
            <v>4000</v>
          </cell>
          <cell r="I28">
            <v>18000</v>
          </cell>
          <cell r="J28">
            <v>33500</v>
          </cell>
          <cell r="K28">
            <v>17500</v>
          </cell>
        </row>
        <row r="31">
          <cell r="C31">
            <v>0</v>
          </cell>
          <cell r="D31">
            <v>0</v>
          </cell>
          <cell r="E31">
            <v>0</v>
          </cell>
          <cell r="F31">
            <v>0</v>
          </cell>
          <cell r="G31">
            <v>0</v>
          </cell>
          <cell r="H31">
            <v>0</v>
          </cell>
          <cell r="I31">
            <v>0</v>
          </cell>
          <cell r="J31">
            <v>0</v>
          </cell>
          <cell r="K31">
            <v>0</v>
          </cell>
        </row>
        <row r="32">
          <cell r="C32">
            <v>-13611.534682900012</v>
          </cell>
          <cell r="D32">
            <v>1983.9145356126246</v>
          </cell>
          <cell r="E32">
            <v>24862.562535612626</v>
          </cell>
          <cell r="F32">
            <v>2666.6968133650516</v>
          </cell>
          <cell r="G32">
            <v>2224.8008627449162</v>
          </cell>
          <cell r="H32">
            <v>1839.020456052851</v>
          </cell>
          <cell r="I32">
            <v>1292.4362507188125</v>
          </cell>
          <cell r="J32">
            <v>1313.583486386844</v>
          </cell>
          <cell r="K32">
            <v>2350.9391493242874</v>
          </cell>
        </row>
        <row r="35">
          <cell r="C35">
            <v>-384907.79181</v>
          </cell>
          <cell r="D35">
            <v>-405237.97</v>
          </cell>
          <cell r="E35">
            <v>-405237.97</v>
          </cell>
          <cell r="F35">
            <v>-430186.322459756</v>
          </cell>
          <cell r="G35">
            <v>-451658.5949949139</v>
          </cell>
          <cell r="H35">
            <v>-468660.1236589572</v>
          </cell>
          <cell r="I35">
            <v>-489283.91943451646</v>
          </cell>
          <cell r="J35">
            <v>-507663.4435473089</v>
          </cell>
          <cell r="K35">
            <v>-529962.3666670925</v>
          </cell>
        </row>
        <row r="36">
          <cell r="C36">
            <v>-4363.91116</v>
          </cell>
          <cell r="D36">
            <v>-4393.674999999999</v>
          </cell>
          <cell r="E36">
            <v>-4393.674999999999</v>
          </cell>
          <cell r="F36">
            <v>-4311.0979</v>
          </cell>
          <cell r="G36">
            <v>-4431.8086412</v>
          </cell>
          <cell r="H36">
            <v>-4555.899283153601</v>
          </cell>
          <cell r="I36">
            <v>-4683.464463081901</v>
          </cell>
          <cell r="J36">
            <v>-4814.601468048195</v>
          </cell>
          <cell r="K36">
            <v>-4949.410309153544</v>
          </cell>
        </row>
        <row r="37">
          <cell r="C37">
            <v>0</v>
          </cell>
          <cell r="D37">
            <v>0</v>
          </cell>
          <cell r="E37">
            <v>0</v>
          </cell>
          <cell r="F37">
            <v>0</v>
          </cell>
          <cell r="G37">
            <v>0</v>
          </cell>
          <cell r="H37">
            <v>0</v>
          </cell>
          <cell r="I37">
            <v>0</v>
          </cell>
          <cell r="J37">
            <v>0</v>
          </cell>
          <cell r="K37">
            <v>0</v>
          </cell>
        </row>
        <row r="39">
          <cell r="C39">
            <v>-135064.452</v>
          </cell>
          <cell r="D39">
            <v>-164554.856</v>
          </cell>
          <cell r="E39">
            <v>-164554.856</v>
          </cell>
          <cell r="F39">
            <v>-252067.985</v>
          </cell>
          <cell r="G39">
            <v>-87200.148</v>
          </cell>
          <cell r="H39">
            <v>-53434.406</v>
          </cell>
          <cell r="I39">
            <v>-38187.29</v>
          </cell>
          <cell r="J39">
            <v>-63950.718</v>
          </cell>
          <cell r="K39">
            <v>-73815.476</v>
          </cell>
        </row>
        <row r="40">
          <cell r="D40">
            <v>4096.316449999999</v>
          </cell>
          <cell r="E40">
            <v>4096.316449999999</v>
          </cell>
          <cell r="F40">
            <v>4344.97420359756</v>
          </cell>
          <cell r="G40">
            <v>4560.904036361139</v>
          </cell>
          <cell r="H40">
            <v>4732.160229421108</v>
          </cell>
          <cell r="I40">
            <v>4939.673838975984</v>
          </cell>
          <cell r="J40">
            <v>5124.780450153571</v>
          </cell>
          <cell r="K40">
            <v>5349.117769762461</v>
          </cell>
        </row>
        <row r="41">
          <cell r="C41">
            <v>21626.47799999999</v>
          </cell>
          <cell r="D41">
            <v>10674.003800000011</v>
          </cell>
          <cell r="E41">
            <v>2518.1118000000224</v>
          </cell>
          <cell r="F41">
            <v>-620.876599999994</v>
          </cell>
          <cell r="G41">
            <v>4696.2085</v>
          </cell>
          <cell r="H41">
            <v>-3919.8542000000034</v>
          </cell>
          <cell r="I41">
            <v>-10063.8196</v>
          </cell>
          <cell r="J41">
            <v>-196.8365</v>
          </cell>
          <cell r="K41">
            <v>17498.039400000005</v>
          </cell>
        </row>
        <row r="42">
          <cell r="C42">
            <v>-12576.043080727126</v>
          </cell>
          <cell r="D42">
            <v>-15652.728635940319</v>
          </cell>
          <cell r="E42">
            <v>-15626.049868515256</v>
          </cell>
          <cell r="F42">
            <v>-9857.665116391738</v>
          </cell>
          <cell r="G42">
            <v>0</v>
          </cell>
          <cell r="H42">
            <v>0</v>
          </cell>
          <cell r="I42">
            <v>0</v>
          </cell>
          <cell r="J42">
            <v>0</v>
          </cell>
          <cell r="K42">
            <v>0</v>
          </cell>
        </row>
        <row r="43">
          <cell r="C43">
            <v>-11880.38526</v>
          </cell>
          <cell r="D43">
            <v>-15819.200983969478</v>
          </cell>
          <cell r="E43">
            <v>-15819.200983969478</v>
          </cell>
          <cell r="F43">
            <v>-12448.115323969478</v>
          </cell>
          <cell r="G43">
            <v>-5890.465638455731</v>
          </cell>
          <cell r="H43">
            <v>-9611.157459101229</v>
          </cell>
          <cell r="I43">
            <v>-16250.107654261416</v>
          </cell>
          <cell r="J43">
            <v>-16519.63276188226</v>
          </cell>
          <cell r="K43">
            <v>-18158.771296798845</v>
          </cell>
        </row>
        <row r="54">
          <cell r="C54">
            <v>24222.767429999796</v>
          </cell>
          <cell r="D54">
            <v>33445.09947663601</v>
          </cell>
          <cell r="E54">
            <v>29373.885969514573</v>
          </cell>
          <cell r="F54">
            <v>28841.764759293488</v>
          </cell>
          <cell r="G54">
            <v>27374.30510429231</v>
          </cell>
          <cell r="H54">
            <v>24854.9501298693</v>
          </cell>
          <cell r="I54">
            <v>22779.910560405544</v>
          </cell>
          <cell r="J54">
            <v>20112.28781784194</v>
          </cell>
          <cell r="K54">
            <v>17531.05789332391</v>
          </cell>
        </row>
        <row r="55">
          <cell r="C55">
            <v>0</v>
          </cell>
          <cell r="D55">
            <v>0</v>
          </cell>
          <cell r="E55">
            <v>0</v>
          </cell>
          <cell r="F55">
            <v>0</v>
          </cell>
          <cell r="G55">
            <v>0</v>
          </cell>
          <cell r="H55">
            <v>0</v>
          </cell>
          <cell r="I55">
            <v>0</v>
          </cell>
          <cell r="J55">
            <v>0</v>
          </cell>
          <cell r="K55">
            <v>0</v>
          </cell>
        </row>
        <row r="56">
          <cell r="C56">
            <v>100914.34427596569</v>
          </cell>
          <cell r="D56">
            <v>102945.41496361024</v>
          </cell>
          <cell r="E56">
            <v>107531.28209361027</v>
          </cell>
          <cell r="F56">
            <v>25647.784632506256</v>
          </cell>
          <cell r="G56">
            <v>42304.21458570918</v>
          </cell>
          <cell r="H56">
            <v>41243.86714205842</v>
          </cell>
          <cell r="I56">
            <v>62600.41673755902</v>
          </cell>
          <cell r="J56">
            <v>88477.89004348834</v>
          </cell>
          <cell r="K56">
            <v>116204.73599825983</v>
          </cell>
        </row>
        <row r="58">
          <cell r="C58">
            <v>26071.73748387168</v>
          </cell>
          <cell r="D58">
            <v>9620.80165896667</v>
          </cell>
          <cell r="E58">
            <v>9584.860116391734</v>
          </cell>
          <cell r="F58">
            <v>-3.637978807091713E-12</v>
          </cell>
          <cell r="G58">
            <v>-3.637978807091713E-12</v>
          </cell>
          <cell r="H58">
            <v>-3.637978807091713E-12</v>
          </cell>
          <cell r="I58">
            <v>-3.637978807091713E-12</v>
          </cell>
          <cell r="J58">
            <v>-3.637978807091713E-12</v>
          </cell>
          <cell r="K58">
            <v>-3.637978807091713E-12</v>
          </cell>
        </row>
      </sheetData>
      <sheetData sheetId="3">
        <row r="38">
          <cell r="C38">
            <v>31998.133984134</v>
          </cell>
          <cell r="D38">
            <v>33671.72121899999</v>
          </cell>
          <cell r="E38">
            <v>33589.79489</v>
          </cell>
          <cell r="F38">
            <v>35715.68795357194</v>
          </cell>
          <cell r="G38">
            <v>37490.631178888565</v>
          </cell>
          <cell r="H38">
            <v>38898.357085841504</v>
          </cell>
          <cell r="I38">
            <v>40604.11895638258</v>
          </cell>
          <cell r="J38">
            <v>42125.69530026235</v>
          </cell>
          <cell r="K38">
            <v>43969.74806744742</v>
          </cell>
        </row>
      </sheetData>
      <sheetData sheetId="5">
        <row r="31">
          <cell r="C31">
            <v>43134.566639660865</v>
          </cell>
          <cell r="D31">
            <v>51468.24561361448</v>
          </cell>
          <cell r="E31">
            <v>51468.24561361448</v>
          </cell>
          <cell r="F31">
            <v>25647.784632506253</v>
          </cell>
          <cell r="G31">
            <v>42304.21458570919</v>
          </cell>
          <cell r="H31">
            <v>61243.86714205842</v>
          </cell>
          <cell r="I31">
            <v>82600.41673755902</v>
          </cell>
          <cell r="J31">
            <v>106477.89004348834</v>
          </cell>
          <cell r="K31">
            <v>132204.73599825983</v>
          </cell>
        </row>
      </sheetData>
      <sheetData sheetId="6">
        <row r="31">
          <cell r="C31">
            <v>26071.73748387168</v>
          </cell>
          <cell r="D31">
            <v>9620.80165896667</v>
          </cell>
          <cell r="E31">
            <v>9584.860116391734</v>
          </cell>
          <cell r="F31">
            <v>-3.637978807091713E-12</v>
          </cell>
          <cell r="G31">
            <v>-3.637978807091713E-12</v>
          </cell>
          <cell r="H31">
            <v>-3.637978807091713E-12</v>
          </cell>
          <cell r="I31">
            <v>-3.637978807091713E-12</v>
          </cell>
          <cell r="J31">
            <v>-3.637978807091713E-12</v>
          </cell>
          <cell r="K31">
            <v>-3.637978807091713E-12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showGridLines="0" tabSelected="1" zoomScale="75" zoomScaleNormal="75" workbookViewId="0" topLeftCell="A37">
      <selection activeCell="B26" sqref="B26"/>
    </sheetView>
  </sheetViews>
  <sheetFormatPr defaultColWidth="9.140625" defaultRowHeight="12.75"/>
  <cols>
    <col min="1" max="1" width="35.421875" style="22" customWidth="1"/>
    <col min="2" max="2" width="14.00390625" style="22" bestFit="1" customWidth="1"/>
    <col min="3" max="3" width="9.140625" style="22" customWidth="1"/>
    <col min="4" max="4" width="15.00390625" style="25" bestFit="1" customWidth="1"/>
    <col min="5" max="5" width="3.7109375" style="22" customWidth="1"/>
    <col min="6" max="6" width="9.140625" style="46" customWidth="1"/>
    <col min="7" max="16384" width="9.140625" style="22" customWidth="1"/>
  </cols>
  <sheetData>
    <row r="1" ht="18">
      <c r="A1" s="43" t="s">
        <v>32</v>
      </c>
    </row>
    <row r="3" spans="1:5" ht="20.25">
      <c r="A3" s="19" t="s">
        <v>23</v>
      </c>
      <c r="B3" s="20"/>
      <c r="C3" s="20"/>
      <c r="D3" s="21"/>
      <c r="E3" s="20"/>
    </row>
    <row r="4" spans="1:5" ht="20.25">
      <c r="A4" s="19" t="s">
        <v>24</v>
      </c>
      <c r="B4" s="20"/>
      <c r="C4" s="20"/>
      <c r="D4" s="21"/>
      <c r="E4" s="20"/>
    </row>
    <row r="7" spans="1:3" ht="13.5" thickBot="1">
      <c r="A7" s="23" t="s">
        <v>25</v>
      </c>
      <c r="B7" s="119">
        <v>3641</v>
      </c>
      <c r="C7" s="24"/>
    </row>
    <row r="9" spans="1:4" ht="13.5" thickBot="1">
      <c r="A9" s="23" t="s">
        <v>26</v>
      </c>
      <c r="B9" s="119" t="s">
        <v>239</v>
      </c>
      <c r="C9" s="120"/>
      <c r="D9" s="121"/>
    </row>
    <row r="10" spans="4:8" ht="12.75">
      <c r="D10" s="50" t="s">
        <v>240</v>
      </c>
      <c r="G10" s="46"/>
      <c r="H10" s="46"/>
    </row>
    <row r="11" spans="1:8" ht="21" customHeight="1">
      <c r="A11" s="26" t="s">
        <v>29</v>
      </c>
      <c r="B11" s="27"/>
      <c r="C11" s="27"/>
      <c r="D11" s="28">
        <v>157664000</v>
      </c>
      <c r="G11" s="46"/>
      <c r="H11" s="46"/>
    </row>
    <row r="12" spans="7:8" ht="12.75">
      <c r="G12" s="46"/>
      <c r="H12" s="46"/>
    </row>
    <row r="13" spans="1:8" ht="12.75">
      <c r="A13" s="29" t="s">
        <v>262</v>
      </c>
      <c r="D13" s="50">
        <v>129416000</v>
      </c>
      <c r="F13" s="47"/>
      <c r="G13" s="46"/>
      <c r="H13" s="46"/>
    </row>
    <row r="14" spans="6:8" ht="12.75">
      <c r="F14" s="47"/>
      <c r="G14" s="46"/>
      <c r="H14" s="46"/>
    </row>
    <row r="15" spans="1:8" ht="12.75">
      <c r="A15" s="29" t="s">
        <v>268</v>
      </c>
      <c r="D15" s="25">
        <v>-65187000</v>
      </c>
      <c r="F15" s="47"/>
      <c r="G15" s="46"/>
      <c r="H15" s="46"/>
    </row>
    <row r="16" spans="1:8" ht="12.75">
      <c r="A16" s="29"/>
      <c r="F16" s="47"/>
      <c r="G16" s="46"/>
      <c r="H16" s="46"/>
    </row>
    <row r="17" spans="1:8" ht="12.75">
      <c r="A17" s="30" t="s">
        <v>263</v>
      </c>
      <c r="B17" s="31"/>
      <c r="C17" s="31"/>
      <c r="D17" s="32">
        <v>-146945000</v>
      </c>
      <c r="F17" s="47"/>
      <c r="G17" s="46"/>
      <c r="H17" s="46"/>
    </row>
    <row r="18" spans="6:8" ht="12.75">
      <c r="F18" s="47"/>
      <c r="G18" s="46"/>
      <c r="H18" s="46"/>
    </row>
    <row r="19" spans="1:8" ht="13.5" thickBot="1">
      <c r="A19" s="29" t="s">
        <v>28</v>
      </c>
      <c r="D19" s="33">
        <f>+D11+D13+D15+D17</f>
        <v>74948000</v>
      </c>
      <c r="F19" s="47"/>
      <c r="G19" s="46"/>
      <c r="H19" s="46"/>
    </row>
    <row r="20" spans="4:8" ht="13.5" thickTop="1">
      <c r="D20" s="34"/>
      <c r="G20" s="46"/>
      <c r="H20" s="46"/>
    </row>
    <row r="21" spans="4:8" ht="12.75">
      <c r="D21" s="34"/>
      <c r="G21" s="46"/>
      <c r="H21" s="46"/>
    </row>
    <row r="22" spans="7:8" ht="16.5" customHeight="1" thickBot="1">
      <c r="G22" s="46"/>
      <c r="H22" s="46"/>
    </row>
    <row r="23" spans="1:8" ht="24.75" customHeight="1" thickBot="1">
      <c r="A23" s="35" t="s">
        <v>264</v>
      </c>
      <c r="B23" s="36"/>
      <c r="C23" s="36"/>
      <c r="D23" s="37">
        <f>D19</f>
        <v>74948000</v>
      </c>
      <c r="F23" s="124"/>
      <c r="G23" s="125"/>
      <c r="H23" s="125"/>
    </row>
    <row r="25" spans="1:8" ht="27.75" customHeight="1">
      <c r="A25" s="29" t="s">
        <v>275</v>
      </c>
      <c r="F25" s="126"/>
      <c r="G25" s="127"/>
      <c r="H25" s="127"/>
    </row>
    <row r="26" spans="1:8" ht="12.75">
      <c r="A26" s="51" t="s">
        <v>265</v>
      </c>
      <c r="B26" s="25">
        <f>Revenue!P169</f>
        <v>24625164</v>
      </c>
      <c r="F26" s="127"/>
      <c r="G26" s="127"/>
      <c r="H26" s="127"/>
    </row>
    <row r="27" spans="1:8" ht="12.75">
      <c r="A27" s="51" t="s">
        <v>266</v>
      </c>
      <c r="B27" s="32">
        <f>Revenue!Q169</f>
        <v>18388742</v>
      </c>
      <c r="F27" s="55"/>
      <c r="G27" s="55"/>
      <c r="H27" s="55"/>
    </row>
    <row r="28" spans="1:8" ht="12.75">
      <c r="A28" s="51" t="s">
        <v>267</v>
      </c>
      <c r="B28" s="25">
        <f>SUM(B26:B27)</f>
        <v>43013906</v>
      </c>
      <c r="D28" s="25">
        <f>B28</f>
        <v>43013906</v>
      </c>
      <c r="F28" s="55"/>
      <c r="G28" s="55"/>
      <c r="H28" s="55"/>
    </row>
    <row r="29" spans="1:8" ht="27.75" customHeight="1">
      <c r="A29" s="29" t="s">
        <v>273</v>
      </c>
      <c r="D29" s="25">
        <f>-180374000+2518000</f>
        <v>-177856000</v>
      </c>
      <c r="F29" s="124"/>
      <c r="G29" s="125"/>
      <c r="H29" s="125"/>
    </row>
    <row r="30" spans="6:8" ht="12.75">
      <c r="F30" s="125"/>
      <c r="G30" s="125"/>
      <c r="H30" s="125"/>
    </row>
    <row r="31" spans="1:6" ht="18" customHeight="1">
      <c r="A31" s="30" t="s">
        <v>272</v>
      </c>
      <c r="D31" s="25">
        <f>171383000+24972000-D28</f>
        <v>153341094</v>
      </c>
      <c r="F31" s="47"/>
    </row>
    <row r="33" ht="12.75">
      <c r="A33" s="29" t="s">
        <v>341</v>
      </c>
    </row>
    <row r="34" spans="1:4" ht="12.75">
      <c r="A34" s="29" t="s">
        <v>342</v>
      </c>
      <c r="D34" s="25">
        <v>-2780000</v>
      </c>
    </row>
    <row r="35" spans="1:2" ht="13.5" thickBot="1">
      <c r="A35" s="51"/>
      <c r="B35" s="25"/>
    </row>
    <row r="36" spans="1:4" ht="21" customHeight="1" thickBot="1" thickTop="1">
      <c r="A36" s="38" t="s">
        <v>269</v>
      </c>
      <c r="B36" s="39"/>
      <c r="C36" s="39"/>
      <c r="D36" s="40">
        <f>SUM(D23:D35)</f>
        <v>90667000</v>
      </c>
    </row>
    <row r="37" ht="13.5" thickTop="1"/>
    <row r="38" ht="12.75">
      <c r="A38" s="22" t="s">
        <v>27</v>
      </c>
    </row>
    <row r="40" ht="12.75">
      <c r="A40" s="29" t="s">
        <v>270</v>
      </c>
    </row>
    <row r="41" spans="1:4" ht="39" customHeight="1">
      <c r="A41" s="122" t="s">
        <v>271</v>
      </c>
      <c r="B41" s="128"/>
      <c r="C41" s="128"/>
      <c r="D41" s="128"/>
    </row>
    <row r="42" ht="12.75">
      <c r="A42" s="51"/>
    </row>
    <row r="43" ht="12.75">
      <c r="A43" s="29"/>
    </row>
    <row r="44" spans="1:4" ht="40.5" customHeight="1">
      <c r="A44" s="122" t="s">
        <v>274</v>
      </c>
      <c r="B44" s="123"/>
      <c r="C44" s="123"/>
      <c r="D44" s="123"/>
    </row>
    <row r="45" ht="12.75">
      <c r="A45" s="29"/>
    </row>
    <row r="46" ht="12.75">
      <c r="A46" s="51"/>
    </row>
    <row r="47" ht="12.75">
      <c r="A47" s="29"/>
    </row>
  </sheetData>
  <mergeCells count="5">
    <mergeCell ref="A44:D44"/>
    <mergeCell ref="F23:H23"/>
    <mergeCell ref="F25:H26"/>
    <mergeCell ref="F29:H30"/>
    <mergeCell ref="A41:D41"/>
  </mergeCells>
  <printOptions horizontalCentered="1" verticalCentered="1"/>
  <pageMargins left="0.43" right="0.29" top="1" bottom="1" header="0.5" footer="0.5"/>
  <pageSetup fitToHeight="1" fitToWidth="1" horizontalDpi="300" verticalDpi="300" orientation="portrait" scale="88" r:id="rId1"/>
  <headerFooter alignWithMargins="0">
    <oddFooter>&amp;L&amp;8 2:29 PM 6/16/04&amp;R&amp;8FinPlan 22.FP 3641</oddFooter>
  </headerFooter>
</worksheet>
</file>

<file path=xl/worksheets/sheet2.xml><?xml version="1.0" encoding="utf-8"?>
<worksheet xmlns="http://schemas.openxmlformats.org/spreadsheetml/2006/main" xmlns:r="http://schemas.openxmlformats.org/officeDocument/2006/relationships">
  <dimension ref="A1:R176"/>
  <sheetViews>
    <sheetView zoomScale="75" zoomScaleNormal="75" workbookViewId="0" topLeftCell="I1">
      <pane ySplit="2700" topLeftCell="BM164" activePane="bottomLeft" state="split"/>
      <selection pane="topLeft" activeCell="D28" sqref="D28"/>
      <selection pane="bottomLeft" activeCell="D28" sqref="D28"/>
    </sheetView>
  </sheetViews>
  <sheetFormatPr defaultColWidth="9.140625" defaultRowHeight="12.75"/>
  <cols>
    <col min="1" max="1" width="11.28125" style="1" hidden="1" customWidth="1"/>
    <col min="2" max="2" width="33.7109375" style="1" hidden="1" customWidth="1"/>
    <col min="3" max="3" width="6.57421875" style="1" hidden="1" customWidth="1"/>
    <col min="4" max="4" width="7.140625" style="1" hidden="1" customWidth="1"/>
    <col min="5" max="5" width="8.7109375" style="1" customWidth="1"/>
    <col min="6" max="6" width="40.7109375" style="1" customWidth="1"/>
    <col min="7" max="7" width="8.57421875" style="10" customWidth="1"/>
    <col min="8" max="11" width="12.7109375" style="3" bestFit="1" customWidth="1"/>
    <col min="12" max="12" width="13.57421875" style="3" customWidth="1"/>
    <col min="13" max="15" width="14.00390625" style="3" customWidth="1"/>
    <col min="16" max="16" width="12.7109375" style="3" customWidth="1"/>
    <col min="17" max="17" width="14.00390625" style="3" customWidth="1"/>
    <col min="18" max="18" width="12.7109375" style="3" customWidth="1"/>
    <col min="19" max="16384" width="9.140625" style="1" customWidth="1"/>
  </cols>
  <sheetData>
    <row r="1" spans="5:18" ht="18.75">
      <c r="E1" s="4" t="s">
        <v>242</v>
      </c>
      <c r="F1" s="4"/>
      <c r="G1" s="4"/>
      <c r="H1" s="5"/>
      <c r="I1" s="5"/>
      <c r="J1" s="5"/>
      <c r="K1" s="5"/>
      <c r="L1" s="5"/>
      <c r="M1" s="5"/>
      <c r="N1" s="5"/>
      <c r="O1" s="5"/>
      <c r="P1" s="5"/>
      <c r="Q1" s="5"/>
      <c r="R1" s="5"/>
    </row>
    <row r="2" spans="5:18" ht="18.75">
      <c r="E2" s="4" t="s">
        <v>12</v>
      </c>
      <c r="F2" s="4"/>
      <c r="G2" s="4"/>
      <c r="H2" s="5"/>
      <c r="I2" s="5"/>
      <c r="J2" s="5"/>
      <c r="K2" s="5"/>
      <c r="L2" s="5"/>
      <c r="M2" s="5"/>
      <c r="N2" s="5"/>
      <c r="O2" s="5"/>
      <c r="P2" s="5"/>
      <c r="Q2" s="5"/>
      <c r="R2" s="5"/>
    </row>
    <row r="3" spans="5:18" ht="18.75">
      <c r="E3" s="4" t="s">
        <v>16</v>
      </c>
      <c r="F3" s="4"/>
      <c r="G3" s="4"/>
      <c r="H3" s="5"/>
      <c r="I3" s="5"/>
      <c r="J3" s="5"/>
      <c r="K3" s="5"/>
      <c r="L3" s="5"/>
      <c r="M3" s="5"/>
      <c r="N3" s="5"/>
      <c r="O3" s="5"/>
      <c r="P3" s="5"/>
      <c r="Q3" s="5"/>
      <c r="R3" s="5"/>
    </row>
    <row r="4" spans="5:6" ht="12.75">
      <c r="E4" s="1" t="s">
        <v>0</v>
      </c>
      <c r="F4" s="48">
        <v>3641</v>
      </c>
    </row>
    <row r="5" spans="5:6" ht="12.75">
      <c r="E5" s="1" t="s">
        <v>13</v>
      </c>
      <c r="F5" s="1" t="s">
        <v>31</v>
      </c>
    </row>
    <row r="6" spans="5:6" ht="12.75">
      <c r="E6" s="1" t="s">
        <v>2</v>
      </c>
      <c r="F6" s="1" t="s">
        <v>30</v>
      </c>
    </row>
    <row r="7" spans="5:18" ht="13.5" thickBot="1">
      <c r="E7" s="6"/>
      <c r="F7" s="6"/>
      <c r="G7" s="11"/>
      <c r="H7" s="7"/>
      <c r="I7" s="7"/>
      <c r="J7" s="7"/>
      <c r="K7" s="7"/>
      <c r="L7" s="7"/>
      <c r="M7" s="7"/>
      <c r="N7" s="7"/>
      <c r="O7" s="7"/>
      <c r="P7" s="7"/>
      <c r="Q7" s="7"/>
      <c r="R7" s="7"/>
    </row>
    <row r="8" spans="1:18" ht="54.75" customHeight="1" thickTop="1">
      <c r="A8" s="2" t="s">
        <v>0</v>
      </c>
      <c r="B8" s="2" t="s">
        <v>1</v>
      </c>
      <c r="C8" s="2" t="s">
        <v>2</v>
      </c>
      <c r="D8" s="2" t="s">
        <v>3</v>
      </c>
      <c r="E8" s="12" t="s">
        <v>4</v>
      </c>
      <c r="F8" s="13" t="s">
        <v>5</v>
      </c>
      <c r="G8" s="13" t="s">
        <v>17</v>
      </c>
      <c r="H8" s="14" t="s">
        <v>18</v>
      </c>
      <c r="I8" s="14" t="s">
        <v>19</v>
      </c>
      <c r="J8" s="14" t="s">
        <v>20</v>
      </c>
      <c r="K8" s="14" t="s">
        <v>6</v>
      </c>
      <c r="L8" s="14" t="s">
        <v>15</v>
      </c>
      <c r="M8" s="14" t="s">
        <v>21</v>
      </c>
      <c r="N8" s="14" t="s">
        <v>7</v>
      </c>
      <c r="O8" s="14" t="s">
        <v>231</v>
      </c>
      <c r="P8" s="42" t="s">
        <v>232</v>
      </c>
      <c r="Q8" s="42" t="s">
        <v>233</v>
      </c>
      <c r="R8" s="14" t="s">
        <v>22</v>
      </c>
    </row>
    <row r="9" spans="1:18" ht="12.75" customHeight="1">
      <c r="A9" s="15"/>
      <c r="B9" s="15"/>
      <c r="C9" s="15"/>
      <c r="D9" s="15"/>
      <c r="E9" s="41" t="s">
        <v>33</v>
      </c>
      <c r="F9" s="41" t="s">
        <v>140</v>
      </c>
      <c r="G9" s="16">
        <v>88888</v>
      </c>
      <c r="H9" s="17">
        <f>33086906-H10</f>
        <v>10055557</v>
      </c>
      <c r="I9" s="17">
        <f>31306091.67-I10-I11</f>
        <v>6716750.670000002</v>
      </c>
      <c r="J9" s="17">
        <f>H9-I9</f>
        <v>3338806.329999998</v>
      </c>
      <c r="K9" s="17">
        <f>J9+J10+J11</f>
        <v>1780814.3299999982</v>
      </c>
      <c r="L9" s="17"/>
      <c r="M9" s="17"/>
      <c r="N9" s="17">
        <f>SUM(K9:M9)</f>
        <v>1780814.3299999982</v>
      </c>
      <c r="O9" s="17">
        <f aca="true" t="shared" si="0" ref="O9:O100">IF(G9=88888,N9,0)</f>
        <v>1780814.3299999982</v>
      </c>
      <c r="P9" s="17">
        <f aca="true" t="shared" si="1" ref="P9:P101">IF(G9=33381,N9,0)</f>
        <v>0</v>
      </c>
      <c r="Q9" s="17"/>
      <c r="R9" s="17">
        <f aca="true" t="shared" si="2" ref="R9:R101">SUM(O9:Q9)</f>
        <v>1780814.3299999982</v>
      </c>
    </row>
    <row r="10" spans="1:18" ht="12.75" customHeight="1">
      <c r="A10" s="15"/>
      <c r="B10" s="15"/>
      <c r="C10" s="15"/>
      <c r="D10" s="15"/>
      <c r="E10" s="41" t="s">
        <v>33</v>
      </c>
      <c r="F10" s="41" t="s">
        <v>140</v>
      </c>
      <c r="G10" s="16">
        <v>33381</v>
      </c>
      <c r="H10" s="17">
        <v>23031349</v>
      </c>
      <c r="I10" s="17">
        <v>24589333</v>
      </c>
      <c r="J10" s="17">
        <f>H10-I10</f>
        <v>-1557984</v>
      </c>
      <c r="K10" s="17"/>
      <c r="L10" s="17"/>
      <c r="M10" s="17"/>
      <c r="N10" s="17">
        <f aca="true" t="shared" si="3" ref="N10:N102">SUM(K10:M10)</f>
        <v>0</v>
      </c>
      <c r="O10" s="17">
        <f t="shared" si="0"/>
        <v>0</v>
      </c>
      <c r="P10" s="17">
        <f t="shared" si="1"/>
        <v>0</v>
      </c>
      <c r="Q10" s="17"/>
      <c r="R10" s="17">
        <f t="shared" si="2"/>
        <v>0</v>
      </c>
    </row>
    <row r="11" spans="1:18" ht="12.75" customHeight="1">
      <c r="A11" s="15"/>
      <c r="B11" s="15"/>
      <c r="C11" s="15"/>
      <c r="D11" s="15"/>
      <c r="E11" s="41" t="s">
        <v>33</v>
      </c>
      <c r="F11" s="41" t="s">
        <v>140</v>
      </c>
      <c r="G11" s="16">
        <v>36111</v>
      </c>
      <c r="H11" s="17">
        <v>0</v>
      </c>
      <c r="I11" s="17">
        <v>8</v>
      </c>
      <c r="J11" s="17">
        <f>H11-I11</f>
        <v>-8</v>
      </c>
      <c r="K11" s="17"/>
      <c r="L11" s="17"/>
      <c r="M11" s="17"/>
      <c r="N11" s="17">
        <f t="shared" si="3"/>
        <v>0</v>
      </c>
      <c r="O11" s="17">
        <f t="shared" si="0"/>
        <v>0</v>
      </c>
      <c r="P11" s="17">
        <f t="shared" si="1"/>
        <v>0</v>
      </c>
      <c r="Q11" s="17">
        <f>K11</f>
        <v>0</v>
      </c>
      <c r="R11" s="17">
        <f t="shared" si="2"/>
        <v>0</v>
      </c>
    </row>
    <row r="12" spans="1:18" ht="12.75" customHeight="1">
      <c r="A12" s="15"/>
      <c r="B12" s="15"/>
      <c r="C12" s="15"/>
      <c r="D12" s="15"/>
      <c r="E12" s="41" t="s">
        <v>34</v>
      </c>
      <c r="F12" s="41" t="s">
        <v>141</v>
      </c>
      <c r="G12" s="16">
        <v>88888</v>
      </c>
      <c r="H12" s="17">
        <v>185205816</v>
      </c>
      <c r="I12" s="17">
        <v>163503.14</v>
      </c>
      <c r="J12" s="17">
        <f aca="true" t="shared" si="4" ref="J12:J100">H12-I12</f>
        <v>185042312.86</v>
      </c>
      <c r="K12" s="17">
        <f aca="true" t="shared" si="5" ref="K12:K63">J12</f>
        <v>185042312.86</v>
      </c>
      <c r="L12" s="17"/>
      <c r="M12" s="17"/>
      <c r="N12" s="17">
        <f t="shared" si="3"/>
        <v>185042312.86</v>
      </c>
      <c r="O12" s="17">
        <f t="shared" si="0"/>
        <v>185042312.86</v>
      </c>
      <c r="P12" s="17">
        <f t="shared" si="1"/>
        <v>0</v>
      </c>
      <c r="Q12" s="17"/>
      <c r="R12" s="17">
        <f t="shared" si="2"/>
        <v>185042312.86</v>
      </c>
    </row>
    <row r="13" spans="1:18" ht="12.75" customHeight="1">
      <c r="A13" s="15"/>
      <c r="B13" s="15"/>
      <c r="C13" s="15"/>
      <c r="D13" s="15"/>
      <c r="E13" s="41" t="s">
        <v>243</v>
      </c>
      <c r="F13" s="41" t="s">
        <v>244</v>
      </c>
      <c r="G13" s="16">
        <v>88888</v>
      </c>
      <c r="H13" s="17">
        <v>0</v>
      </c>
      <c r="I13" s="17">
        <v>0</v>
      </c>
      <c r="J13" s="17">
        <f t="shared" si="4"/>
        <v>0</v>
      </c>
      <c r="K13" s="17">
        <f t="shared" si="5"/>
        <v>0</v>
      </c>
      <c r="L13" s="17"/>
      <c r="M13" s="17"/>
      <c r="N13" s="17">
        <f t="shared" si="3"/>
        <v>0</v>
      </c>
      <c r="O13" s="17">
        <f t="shared" si="0"/>
        <v>0</v>
      </c>
      <c r="P13" s="17">
        <f t="shared" si="1"/>
        <v>0</v>
      </c>
      <c r="Q13" s="17"/>
      <c r="R13" s="17">
        <f t="shared" si="2"/>
        <v>0</v>
      </c>
    </row>
    <row r="14" spans="1:18" ht="12.75" customHeight="1">
      <c r="A14" s="15"/>
      <c r="B14" s="15"/>
      <c r="C14" s="15"/>
      <c r="D14" s="15"/>
      <c r="E14" s="41" t="s">
        <v>35</v>
      </c>
      <c r="F14" s="41" t="s">
        <v>227</v>
      </c>
      <c r="G14" s="16">
        <v>88888</v>
      </c>
      <c r="H14" s="17">
        <v>6397219</v>
      </c>
      <c r="I14" s="17">
        <f>3500870.86-I15-I16</f>
        <v>2245550.86</v>
      </c>
      <c r="J14" s="17">
        <f t="shared" si="4"/>
        <v>4151668.14</v>
      </c>
      <c r="K14" s="17">
        <f>J14+J15+J16</f>
        <v>2896348.14</v>
      </c>
      <c r="L14" s="17"/>
      <c r="M14" s="17"/>
      <c r="N14" s="17">
        <f t="shared" si="3"/>
        <v>2896348.14</v>
      </c>
      <c r="O14" s="17">
        <f t="shared" si="0"/>
        <v>2896348.14</v>
      </c>
      <c r="P14" s="17">
        <f t="shared" si="1"/>
        <v>0</v>
      </c>
      <c r="Q14" s="17"/>
      <c r="R14" s="17">
        <f t="shared" si="2"/>
        <v>2896348.14</v>
      </c>
    </row>
    <row r="15" spans="1:18" ht="12.75" customHeight="1">
      <c r="A15" s="15"/>
      <c r="B15" s="15"/>
      <c r="C15" s="15"/>
      <c r="D15" s="15"/>
      <c r="E15" s="41" t="s">
        <v>35</v>
      </c>
      <c r="F15" s="41" t="s">
        <v>227</v>
      </c>
      <c r="G15" s="16">
        <v>39530</v>
      </c>
      <c r="H15" s="17">
        <v>0</v>
      </c>
      <c r="I15" s="17">
        <v>18320</v>
      </c>
      <c r="J15" s="17">
        <f t="shared" si="4"/>
        <v>-18320</v>
      </c>
      <c r="K15" s="17"/>
      <c r="L15" s="17"/>
      <c r="M15" s="17"/>
      <c r="N15" s="17">
        <f t="shared" si="3"/>
        <v>0</v>
      </c>
      <c r="O15" s="17">
        <f t="shared" si="0"/>
        <v>0</v>
      </c>
      <c r="P15" s="17">
        <f t="shared" si="1"/>
        <v>0</v>
      </c>
      <c r="Q15" s="17">
        <f>K15</f>
        <v>0</v>
      </c>
      <c r="R15" s="17">
        <f t="shared" si="2"/>
        <v>0</v>
      </c>
    </row>
    <row r="16" spans="1:18" ht="12.75" customHeight="1">
      <c r="A16" s="15"/>
      <c r="B16" s="15"/>
      <c r="C16" s="15"/>
      <c r="D16" s="15"/>
      <c r="E16" s="41" t="s">
        <v>35</v>
      </c>
      <c r="F16" s="41" t="s">
        <v>227</v>
      </c>
      <c r="G16" s="16">
        <v>46419</v>
      </c>
      <c r="H16" s="17">
        <v>0</v>
      </c>
      <c r="I16" s="17">
        <v>1237000</v>
      </c>
      <c r="J16" s="17">
        <f t="shared" si="4"/>
        <v>-1237000</v>
      </c>
      <c r="K16" s="17"/>
      <c r="L16" s="17"/>
      <c r="M16" s="17"/>
      <c r="N16" s="17">
        <f t="shared" si="3"/>
        <v>0</v>
      </c>
      <c r="O16" s="17">
        <f t="shared" si="0"/>
        <v>0</v>
      </c>
      <c r="P16" s="17">
        <f t="shared" si="1"/>
        <v>0</v>
      </c>
      <c r="Q16" s="17">
        <f>K16</f>
        <v>0</v>
      </c>
      <c r="R16" s="17">
        <f t="shared" si="2"/>
        <v>0</v>
      </c>
    </row>
    <row r="17" spans="1:18" ht="12.75" customHeight="1">
      <c r="A17" s="15"/>
      <c r="B17" s="15"/>
      <c r="C17" s="15"/>
      <c r="D17" s="15"/>
      <c r="E17" s="41" t="s">
        <v>260</v>
      </c>
      <c r="F17" s="15" t="s">
        <v>261</v>
      </c>
      <c r="G17" s="16">
        <v>88888</v>
      </c>
      <c r="H17" s="17">
        <v>0</v>
      </c>
      <c r="I17" s="17">
        <f>0</f>
        <v>0</v>
      </c>
      <c r="J17" s="17">
        <f t="shared" si="4"/>
        <v>0</v>
      </c>
      <c r="K17" s="17">
        <f t="shared" si="5"/>
        <v>0</v>
      </c>
      <c r="L17" s="17"/>
      <c r="M17" s="17"/>
      <c r="N17" s="17">
        <f t="shared" si="3"/>
        <v>0</v>
      </c>
      <c r="O17" s="17">
        <f t="shared" si="0"/>
        <v>0</v>
      </c>
      <c r="P17" s="17">
        <f t="shared" si="1"/>
        <v>0</v>
      </c>
      <c r="Q17" s="17"/>
      <c r="R17" s="17">
        <f t="shared" si="2"/>
        <v>0</v>
      </c>
    </row>
    <row r="18" spans="1:18" ht="12.75" customHeight="1">
      <c r="A18" s="15"/>
      <c r="B18" s="15"/>
      <c r="C18" s="15"/>
      <c r="D18" s="15"/>
      <c r="E18" s="41" t="s">
        <v>36</v>
      </c>
      <c r="F18" s="41" t="s">
        <v>129</v>
      </c>
      <c r="G18" s="16">
        <v>88888</v>
      </c>
      <c r="H18" s="17">
        <v>2087200</v>
      </c>
      <c r="I18" s="17">
        <v>1339650.96</v>
      </c>
      <c r="J18" s="17">
        <f t="shared" si="4"/>
        <v>747549.04</v>
      </c>
      <c r="K18" s="17">
        <f t="shared" si="5"/>
        <v>747549.04</v>
      </c>
      <c r="L18" s="17"/>
      <c r="M18" s="17"/>
      <c r="N18" s="17">
        <f t="shared" si="3"/>
        <v>747549.04</v>
      </c>
      <c r="O18" s="17">
        <f t="shared" si="0"/>
        <v>747549.04</v>
      </c>
      <c r="P18" s="17">
        <f t="shared" si="1"/>
        <v>0</v>
      </c>
      <c r="Q18" s="17"/>
      <c r="R18" s="17">
        <f t="shared" si="2"/>
        <v>747549.04</v>
      </c>
    </row>
    <row r="19" spans="1:18" ht="12.75" customHeight="1">
      <c r="A19" s="15"/>
      <c r="B19" s="15"/>
      <c r="C19" s="15"/>
      <c r="D19" s="15"/>
      <c r="E19" s="41" t="s">
        <v>37</v>
      </c>
      <c r="F19" s="41" t="s">
        <v>221</v>
      </c>
      <c r="G19" s="16">
        <v>88888</v>
      </c>
      <c r="H19" s="17">
        <v>720520</v>
      </c>
      <c r="I19" s="17">
        <v>189048.76</v>
      </c>
      <c r="J19" s="17">
        <f t="shared" si="4"/>
        <v>531471.24</v>
      </c>
      <c r="K19" s="17">
        <f t="shared" si="5"/>
        <v>531471.24</v>
      </c>
      <c r="L19" s="17"/>
      <c r="M19" s="17"/>
      <c r="N19" s="17">
        <f t="shared" si="3"/>
        <v>531471.24</v>
      </c>
      <c r="O19" s="17">
        <f t="shared" si="0"/>
        <v>531471.24</v>
      </c>
      <c r="P19" s="17">
        <f t="shared" si="1"/>
        <v>0</v>
      </c>
      <c r="Q19" s="17"/>
      <c r="R19" s="17">
        <f t="shared" si="2"/>
        <v>531471.24</v>
      </c>
    </row>
    <row r="20" spans="1:18" ht="12.75" customHeight="1">
      <c r="A20" s="15"/>
      <c r="B20" s="15"/>
      <c r="C20" s="15"/>
      <c r="D20" s="15"/>
      <c r="E20" s="41" t="s">
        <v>38</v>
      </c>
      <c r="F20" s="41" t="s">
        <v>222</v>
      </c>
      <c r="G20" s="16">
        <v>88888</v>
      </c>
      <c r="H20" s="17">
        <v>250</v>
      </c>
      <c r="I20" s="17">
        <v>-38.41</v>
      </c>
      <c r="J20" s="17">
        <f t="shared" si="4"/>
        <v>288.40999999999997</v>
      </c>
      <c r="K20" s="17">
        <f t="shared" si="5"/>
        <v>288.40999999999997</v>
      </c>
      <c r="L20" s="17"/>
      <c r="M20" s="17"/>
      <c r="N20" s="17">
        <f t="shared" si="3"/>
        <v>288.40999999999997</v>
      </c>
      <c r="O20" s="17">
        <f t="shared" si="0"/>
        <v>288.40999999999997</v>
      </c>
      <c r="P20" s="17">
        <f t="shared" si="1"/>
        <v>0</v>
      </c>
      <c r="Q20" s="17"/>
      <c r="R20" s="17">
        <f t="shared" si="2"/>
        <v>288.40999999999997</v>
      </c>
    </row>
    <row r="21" spans="1:18" ht="12.75" customHeight="1">
      <c r="A21" s="15"/>
      <c r="B21" s="15"/>
      <c r="C21" s="15"/>
      <c r="D21" s="15"/>
      <c r="E21" s="41" t="s">
        <v>39</v>
      </c>
      <c r="F21" s="41" t="s">
        <v>160</v>
      </c>
      <c r="G21" s="16">
        <v>88888</v>
      </c>
      <c r="H21" s="17">
        <v>0</v>
      </c>
      <c r="I21" s="17">
        <v>0</v>
      </c>
      <c r="J21" s="17">
        <f t="shared" si="4"/>
        <v>0</v>
      </c>
      <c r="K21" s="17">
        <f t="shared" si="5"/>
        <v>0</v>
      </c>
      <c r="L21" s="17"/>
      <c r="M21" s="17"/>
      <c r="N21" s="17">
        <f t="shared" si="3"/>
        <v>0</v>
      </c>
      <c r="O21" s="17">
        <f t="shared" si="0"/>
        <v>0</v>
      </c>
      <c r="P21" s="17">
        <f t="shared" si="1"/>
        <v>0</v>
      </c>
      <c r="Q21" s="17"/>
      <c r="R21" s="17">
        <f t="shared" si="2"/>
        <v>0</v>
      </c>
    </row>
    <row r="22" spans="1:18" ht="12.75" customHeight="1">
      <c r="A22" s="15"/>
      <c r="B22" s="15"/>
      <c r="C22" s="15"/>
      <c r="D22" s="15"/>
      <c r="E22" s="41" t="s">
        <v>40</v>
      </c>
      <c r="F22" s="41" t="s">
        <v>161</v>
      </c>
      <c r="G22" s="16">
        <v>88888</v>
      </c>
      <c r="H22" s="17">
        <v>0</v>
      </c>
      <c r="I22" s="17">
        <v>0</v>
      </c>
      <c r="J22" s="17">
        <f t="shared" si="4"/>
        <v>0</v>
      </c>
      <c r="K22" s="17">
        <f t="shared" si="5"/>
        <v>0</v>
      </c>
      <c r="L22" s="17"/>
      <c r="M22" s="17"/>
      <c r="N22" s="17">
        <f t="shared" si="3"/>
        <v>0</v>
      </c>
      <c r="O22" s="17">
        <f t="shared" si="0"/>
        <v>0</v>
      </c>
      <c r="P22" s="17">
        <f t="shared" si="1"/>
        <v>0</v>
      </c>
      <c r="Q22" s="17"/>
      <c r="R22" s="17">
        <f t="shared" si="2"/>
        <v>0</v>
      </c>
    </row>
    <row r="23" spans="1:18" ht="12.75" customHeight="1">
      <c r="A23" s="15"/>
      <c r="B23" s="15"/>
      <c r="C23" s="15"/>
      <c r="D23" s="15"/>
      <c r="E23" s="41" t="s">
        <v>41</v>
      </c>
      <c r="F23" s="41" t="s">
        <v>162</v>
      </c>
      <c r="G23" s="16">
        <v>88888</v>
      </c>
      <c r="H23" s="17">
        <v>12446769</v>
      </c>
      <c r="I23" s="17">
        <v>7986273.05</v>
      </c>
      <c r="J23" s="17">
        <f t="shared" si="4"/>
        <v>4460495.95</v>
      </c>
      <c r="K23" s="17">
        <f t="shared" si="5"/>
        <v>4460495.95</v>
      </c>
      <c r="L23" s="17"/>
      <c r="M23" s="17"/>
      <c r="N23" s="17">
        <f t="shared" si="3"/>
        <v>4460495.95</v>
      </c>
      <c r="O23" s="17">
        <f t="shared" si="0"/>
        <v>4460495.95</v>
      </c>
      <c r="P23" s="17">
        <f t="shared" si="1"/>
        <v>0</v>
      </c>
      <c r="Q23" s="17"/>
      <c r="R23" s="17">
        <f t="shared" si="2"/>
        <v>4460495.95</v>
      </c>
    </row>
    <row r="24" spans="1:18" ht="12.75" customHeight="1">
      <c r="A24" s="15"/>
      <c r="B24" s="15"/>
      <c r="C24" s="15"/>
      <c r="D24" s="15"/>
      <c r="E24" s="41" t="s">
        <v>42</v>
      </c>
      <c r="F24" s="41" t="s">
        <v>163</v>
      </c>
      <c r="G24" s="16">
        <v>88888</v>
      </c>
      <c r="H24" s="17">
        <v>-2000</v>
      </c>
      <c r="I24" s="17">
        <v>-2000.01</v>
      </c>
      <c r="J24" s="17">
        <f t="shared" si="4"/>
        <v>0.009999999999990905</v>
      </c>
      <c r="K24" s="17">
        <f t="shared" si="5"/>
        <v>0.009999999999990905</v>
      </c>
      <c r="L24" s="17"/>
      <c r="M24" s="17"/>
      <c r="N24" s="17">
        <f t="shared" si="3"/>
        <v>0.009999999999990905</v>
      </c>
      <c r="O24" s="17">
        <f t="shared" si="0"/>
        <v>0.009999999999990905</v>
      </c>
      <c r="P24" s="17">
        <f t="shared" si="1"/>
        <v>0</v>
      </c>
      <c r="Q24" s="17"/>
      <c r="R24" s="17">
        <f t="shared" si="2"/>
        <v>0.009999999999990905</v>
      </c>
    </row>
    <row r="25" spans="1:18" ht="12.75" customHeight="1">
      <c r="A25" s="15"/>
      <c r="B25" s="15"/>
      <c r="C25" s="15"/>
      <c r="D25" s="15"/>
      <c r="E25" s="41" t="s">
        <v>43</v>
      </c>
      <c r="F25" s="41" t="s">
        <v>172</v>
      </c>
      <c r="G25" s="16">
        <v>88888</v>
      </c>
      <c r="H25" s="17">
        <v>32872</v>
      </c>
      <c r="I25" s="17">
        <f>0-I26</f>
        <v>-120000</v>
      </c>
      <c r="J25" s="17">
        <f t="shared" si="4"/>
        <v>152872</v>
      </c>
      <c r="K25" s="17">
        <f>J25+J26</f>
        <v>32872</v>
      </c>
      <c r="L25" s="17"/>
      <c r="M25" s="17"/>
      <c r="N25" s="17">
        <f t="shared" si="3"/>
        <v>32872</v>
      </c>
      <c r="O25" s="17">
        <f t="shared" si="0"/>
        <v>32872</v>
      </c>
      <c r="P25" s="17">
        <f t="shared" si="1"/>
        <v>0</v>
      </c>
      <c r="Q25" s="17"/>
      <c r="R25" s="17">
        <f t="shared" si="2"/>
        <v>32872</v>
      </c>
    </row>
    <row r="26" spans="1:18" ht="12.75" customHeight="1">
      <c r="A26" s="15"/>
      <c r="B26" s="15"/>
      <c r="C26" s="15"/>
      <c r="D26" s="15"/>
      <c r="E26" s="41" t="s">
        <v>43</v>
      </c>
      <c r="F26" s="41" t="s">
        <v>172</v>
      </c>
      <c r="G26" s="16">
        <v>34490</v>
      </c>
      <c r="H26" s="17">
        <v>0</v>
      </c>
      <c r="I26" s="17">
        <v>120000</v>
      </c>
      <c r="J26" s="17">
        <f t="shared" si="4"/>
        <v>-120000</v>
      </c>
      <c r="K26" s="17"/>
      <c r="L26" s="17"/>
      <c r="M26" s="17"/>
      <c r="N26" s="17">
        <f t="shared" si="3"/>
        <v>0</v>
      </c>
      <c r="O26" s="17">
        <f t="shared" si="0"/>
        <v>0</v>
      </c>
      <c r="P26" s="17">
        <f t="shared" si="1"/>
        <v>0</v>
      </c>
      <c r="Q26" s="17">
        <f>K26</f>
        <v>0</v>
      </c>
      <c r="R26" s="17">
        <f t="shared" si="2"/>
        <v>0</v>
      </c>
    </row>
    <row r="27" spans="1:18" ht="12.75" customHeight="1">
      <c r="A27" s="15"/>
      <c r="B27" s="15"/>
      <c r="C27" s="15"/>
      <c r="D27" s="15"/>
      <c r="E27" s="41" t="s">
        <v>44</v>
      </c>
      <c r="F27" s="41" t="s">
        <v>192</v>
      </c>
      <c r="G27" s="16">
        <v>88888</v>
      </c>
      <c r="H27" s="17">
        <v>128215</v>
      </c>
      <c r="I27" s="17">
        <v>117323.12</v>
      </c>
      <c r="J27" s="17">
        <f t="shared" si="4"/>
        <v>10891.880000000005</v>
      </c>
      <c r="K27" s="17">
        <f t="shared" si="5"/>
        <v>10891.880000000005</v>
      </c>
      <c r="L27" s="17"/>
      <c r="M27" s="17"/>
      <c r="N27" s="17">
        <f t="shared" si="3"/>
        <v>10891.880000000005</v>
      </c>
      <c r="O27" s="17">
        <f t="shared" si="0"/>
        <v>10891.880000000005</v>
      </c>
      <c r="P27" s="17">
        <f t="shared" si="1"/>
        <v>0</v>
      </c>
      <c r="Q27" s="17"/>
      <c r="R27" s="17">
        <f t="shared" si="2"/>
        <v>10891.880000000005</v>
      </c>
    </row>
    <row r="28" spans="1:18" ht="12.75" customHeight="1">
      <c r="A28" s="15"/>
      <c r="B28" s="15"/>
      <c r="C28" s="15"/>
      <c r="D28" s="15"/>
      <c r="E28" s="41" t="s">
        <v>45</v>
      </c>
      <c r="F28" s="41" t="s">
        <v>193</v>
      </c>
      <c r="G28" s="16">
        <v>88888</v>
      </c>
      <c r="H28" s="17">
        <v>1358988</v>
      </c>
      <c r="I28" s="17">
        <v>80340.52</v>
      </c>
      <c r="J28" s="17">
        <f t="shared" si="4"/>
        <v>1278647.48</v>
      </c>
      <c r="K28" s="17">
        <f t="shared" si="5"/>
        <v>1278647.48</v>
      </c>
      <c r="L28" s="17"/>
      <c r="M28" s="17"/>
      <c r="N28" s="17">
        <f t="shared" si="3"/>
        <v>1278647.48</v>
      </c>
      <c r="O28" s="17">
        <f t="shared" si="0"/>
        <v>1278647.48</v>
      </c>
      <c r="P28" s="17">
        <f t="shared" si="1"/>
        <v>0</v>
      </c>
      <c r="Q28" s="17"/>
      <c r="R28" s="17">
        <f t="shared" si="2"/>
        <v>1278647.48</v>
      </c>
    </row>
    <row r="29" spans="1:18" ht="12.75" customHeight="1">
      <c r="A29" s="15"/>
      <c r="B29" s="15"/>
      <c r="C29" s="15"/>
      <c r="D29" s="15"/>
      <c r="E29" s="41" t="s">
        <v>46</v>
      </c>
      <c r="F29" s="41" t="s">
        <v>194</v>
      </c>
      <c r="G29" s="16">
        <v>88888</v>
      </c>
      <c r="H29" s="17">
        <v>621645</v>
      </c>
      <c r="I29" s="17">
        <f>81966.4-I30</f>
        <v>34494.399999999994</v>
      </c>
      <c r="J29" s="17">
        <f t="shared" si="4"/>
        <v>587150.6</v>
      </c>
      <c r="K29" s="17">
        <f>J29+J30</f>
        <v>539678.6</v>
      </c>
      <c r="L29" s="17"/>
      <c r="M29" s="17"/>
      <c r="N29" s="17">
        <f t="shared" si="3"/>
        <v>539678.6</v>
      </c>
      <c r="O29" s="17">
        <f t="shared" si="0"/>
        <v>539678.6</v>
      </c>
      <c r="P29" s="17">
        <f t="shared" si="1"/>
        <v>0</v>
      </c>
      <c r="Q29" s="17"/>
      <c r="R29" s="17">
        <f t="shared" si="2"/>
        <v>539678.6</v>
      </c>
    </row>
    <row r="30" spans="1:18" ht="12.75" customHeight="1">
      <c r="A30" s="15"/>
      <c r="B30" s="15"/>
      <c r="C30" s="15"/>
      <c r="D30" s="15"/>
      <c r="E30" s="41" t="s">
        <v>46</v>
      </c>
      <c r="F30" s="41" t="s">
        <v>194</v>
      </c>
      <c r="G30" s="16">
        <v>33381</v>
      </c>
      <c r="H30" s="17">
        <v>0</v>
      </c>
      <c r="I30" s="17">
        <v>47472</v>
      </c>
      <c r="J30" s="17">
        <f t="shared" si="4"/>
        <v>-47472</v>
      </c>
      <c r="K30" s="17"/>
      <c r="L30" s="17"/>
      <c r="M30" s="17"/>
      <c r="N30" s="17">
        <f>SUM(K30:M30)</f>
        <v>0</v>
      </c>
      <c r="O30" s="17">
        <f>IF(G30=88888,N30,0)</f>
        <v>0</v>
      </c>
      <c r="P30" s="17">
        <f t="shared" si="1"/>
        <v>0</v>
      </c>
      <c r="Q30" s="17"/>
      <c r="R30" s="17">
        <f t="shared" si="2"/>
        <v>0</v>
      </c>
    </row>
    <row r="31" spans="1:18" ht="12.75" customHeight="1">
      <c r="A31" s="15"/>
      <c r="B31" s="15"/>
      <c r="C31" s="15"/>
      <c r="D31" s="15"/>
      <c r="E31" s="41" t="s">
        <v>47</v>
      </c>
      <c r="F31" s="41" t="s">
        <v>195</v>
      </c>
      <c r="G31" s="16">
        <v>88888</v>
      </c>
      <c r="H31" s="17">
        <f>1393948-H32</f>
        <v>1237948</v>
      </c>
      <c r="I31" s="17">
        <v>71308.47</v>
      </c>
      <c r="J31" s="17">
        <f t="shared" si="4"/>
        <v>1166639.53</v>
      </c>
      <c r="K31" s="17">
        <f t="shared" si="5"/>
        <v>1166639.53</v>
      </c>
      <c r="L31" s="17"/>
      <c r="M31" s="17"/>
      <c r="N31" s="17">
        <f t="shared" si="3"/>
        <v>1166639.53</v>
      </c>
      <c r="O31" s="17">
        <f t="shared" si="0"/>
        <v>1166639.53</v>
      </c>
      <c r="P31" s="17">
        <f t="shared" si="1"/>
        <v>0</v>
      </c>
      <c r="Q31" s="17"/>
      <c r="R31" s="17">
        <f t="shared" si="2"/>
        <v>1166639.53</v>
      </c>
    </row>
    <row r="32" spans="1:18" ht="12.75" customHeight="1">
      <c r="A32" s="15"/>
      <c r="B32" s="15"/>
      <c r="C32" s="15"/>
      <c r="D32" s="15"/>
      <c r="E32" s="41" t="s">
        <v>47</v>
      </c>
      <c r="F32" s="41" t="s">
        <v>195</v>
      </c>
      <c r="G32" s="16">
        <v>33381</v>
      </c>
      <c r="H32" s="17">
        <v>156000</v>
      </c>
      <c r="I32" s="17">
        <v>0</v>
      </c>
      <c r="J32" s="17">
        <f t="shared" si="4"/>
        <v>156000</v>
      </c>
      <c r="K32" s="17">
        <f t="shared" si="5"/>
        <v>156000</v>
      </c>
      <c r="L32" s="17"/>
      <c r="M32" s="17"/>
      <c r="N32" s="17">
        <f t="shared" si="3"/>
        <v>156000</v>
      </c>
      <c r="O32" s="17">
        <f t="shared" si="0"/>
        <v>0</v>
      </c>
      <c r="P32" s="17">
        <f t="shared" si="1"/>
        <v>156000</v>
      </c>
      <c r="Q32" s="17"/>
      <c r="R32" s="17">
        <f t="shared" si="2"/>
        <v>156000</v>
      </c>
    </row>
    <row r="33" spans="1:18" ht="12.75" customHeight="1">
      <c r="A33" s="15"/>
      <c r="B33" s="15"/>
      <c r="C33" s="15"/>
      <c r="D33" s="15"/>
      <c r="E33" s="41" t="s">
        <v>48</v>
      </c>
      <c r="F33" s="41" t="s">
        <v>146</v>
      </c>
      <c r="G33" s="16">
        <v>88888</v>
      </c>
      <c r="H33" s="17">
        <v>474800</v>
      </c>
      <c r="I33" s="17">
        <f>177581.2-I34</f>
        <v>175785.2</v>
      </c>
      <c r="J33" s="17">
        <f t="shared" si="4"/>
        <v>299014.8</v>
      </c>
      <c r="K33" s="17">
        <f>J33+J34</f>
        <v>297218.8</v>
      </c>
      <c r="L33" s="17"/>
      <c r="M33" s="17"/>
      <c r="N33" s="17">
        <f t="shared" si="3"/>
        <v>297218.8</v>
      </c>
      <c r="O33" s="17">
        <f t="shared" si="0"/>
        <v>297218.8</v>
      </c>
      <c r="P33" s="17">
        <f t="shared" si="1"/>
        <v>0</v>
      </c>
      <c r="Q33" s="17"/>
      <c r="R33" s="17">
        <f t="shared" si="2"/>
        <v>297218.8</v>
      </c>
    </row>
    <row r="34" spans="1:18" ht="12.75" customHeight="1">
      <c r="A34" s="15"/>
      <c r="B34" s="15"/>
      <c r="C34" s="15"/>
      <c r="D34" s="15"/>
      <c r="E34" s="41" t="s">
        <v>48</v>
      </c>
      <c r="F34" s="41" t="s">
        <v>146</v>
      </c>
      <c r="G34" s="16">
        <v>33381</v>
      </c>
      <c r="H34" s="17">
        <v>0</v>
      </c>
      <c r="I34" s="17">
        <v>1796</v>
      </c>
      <c r="J34" s="17">
        <f t="shared" si="4"/>
        <v>-1796</v>
      </c>
      <c r="K34" s="17">
        <v>0</v>
      </c>
      <c r="L34" s="17"/>
      <c r="M34" s="17"/>
      <c r="N34" s="17">
        <f t="shared" si="3"/>
        <v>0</v>
      </c>
      <c r="O34" s="17">
        <f t="shared" si="0"/>
        <v>0</v>
      </c>
      <c r="P34" s="17">
        <f t="shared" si="1"/>
        <v>0</v>
      </c>
      <c r="Q34" s="17"/>
      <c r="R34" s="17">
        <f t="shared" si="2"/>
        <v>0</v>
      </c>
    </row>
    <row r="35" spans="1:18" ht="12.75" customHeight="1">
      <c r="A35" s="15"/>
      <c r="B35" s="15"/>
      <c r="C35" s="15"/>
      <c r="D35" s="15"/>
      <c r="E35" s="41" t="s">
        <v>49</v>
      </c>
      <c r="F35" s="41" t="s">
        <v>147</v>
      </c>
      <c r="G35" s="16">
        <v>88888</v>
      </c>
      <c r="H35" s="17">
        <v>759019</v>
      </c>
      <c r="I35" s="17">
        <v>97293.95</v>
      </c>
      <c r="J35" s="17">
        <f t="shared" si="4"/>
        <v>661725.05</v>
      </c>
      <c r="K35" s="17">
        <f t="shared" si="5"/>
        <v>661725.05</v>
      </c>
      <c r="L35" s="17"/>
      <c r="M35" s="17"/>
      <c r="N35" s="17">
        <f t="shared" si="3"/>
        <v>661725.05</v>
      </c>
      <c r="O35" s="17">
        <f t="shared" si="0"/>
        <v>661725.05</v>
      </c>
      <c r="P35" s="17">
        <f t="shared" si="1"/>
        <v>0</v>
      </c>
      <c r="Q35" s="17"/>
      <c r="R35" s="17">
        <f t="shared" si="2"/>
        <v>661725.05</v>
      </c>
    </row>
    <row r="36" spans="1:18" ht="12.75" customHeight="1">
      <c r="A36" s="15"/>
      <c r="B36" s="15"/>
      <c r="C36" s="15"/>
      <c r="D36" s="15"/>
      <c r="E36" s="41" t="s">
        <v>50</v>
      </c>
      <c r="F36" s="41" t="s">
        <v>203</v>
      </c>
      <c r="G36" s="16">
        <v>88888</v>
      </c>
      <c r="H36" s="17">
        <v>12170</v>
      </c>
      <c r="I36" s="17">
        <f>11795.28-I37</f>
        <v>-5178.719999999999</v>
      </c>
      <c r="J36" s="17">
        <f t="shared" si="4"/>
        <v>17348.72</v>
      </c>
      <c r="K36" s="17">
        <f>J36+J37</f>
        <v>374.72000000000116</v>
      </c>
      <c r="L36" s="17"/>
      <c r="M36" s="17"/>
      <c r="N36" s="17">
        <f t="shared" si="3"/>
        <v>374.72000000000116</v>
      </c>
      <c r="O36" s="17">
        <f t="shared" si="0"/>
        <v>374.72000000000116</v>
      </c>
      <c r="P36" s="17">
        <f t="shared" si="1"/>
        <v>0</v>
      </c>
      <c r="Q36" s="17"/>
      <c r="R36" s="17">
        <f t="shared" si="2"/>
        <v>374.72000000000116</v>
      </c>
    </row>
    <row r="37" spans="1:18" ht="12.75" customHeight="1">
      <c r="A37" s="15"/>
      <c r="B37" s="15"/>
      <c r="C37" s="15"/>
      <c r="D37" s="15"/>
      <c r="E37" s="41" t="s">
        <v>50</v>
      </c>
      <c r="F37" s="41" t="s">
        <v>203</v>
      </c>
      <c r="G37" s="16">
        <v>33381</v>
      </c>
      <c r="H37" s="17">
        <v>0</v>
      </c>
      <c r="I37" s="17">
        <v>16974</v>
      </c>
      <c r="J37" s="17">
        <f t="shared" si="4"/>
        <v>-16974</v>
      </c>
      <c r="K37" s="17"/>
      <c r="L37" s="17"/>
      <c r="M37" s="17"/>
      <c r="N37" s="17">
        <f>SUM(K37:M37)</f>
        <v>0</v>
      </c>
      <c r="O37" s="17">
        <f>IF(G37=88888,N37,0)</f>
        <v>0</v>
      </c>
      <c r="P37" s="17">
        <f t="shared" si="1"/>
        <v>0</v>
      </c>
      <c r="Q37" s="17"/>
      <c r="R37" s="17">
        <f t="shared" si="2"/>
        <v>0</v>
      </c>
    </row>
    <row r="38" spans="1:18" ht="12.75" customHeight="1">
      <c r="A38" s="15"/>
      <c r="B38" s="15"/>
      <c r="C38" s="15"/>
      <c r="D38" s="15"/>
      <c r="E38" s="41" t="s">
        <v>51</v>
      </c>
      <c r="F38" s="41" t="s">
        <v>148</v>
      </c>
      <c r="G38" s="16">
        <v>88888</v>
      </c>
      <c r="H38" s="17">
        <v>230081</v>
      </c>
      <c r="I38" s="17">
        <v>126883.49</v>
      </c>
      <c r="J38" s="17">
        <f t="shared" si="4"/>
        <v>103197.51</v>
      </c>
      <c r="K38" s="17">
        <f t="shared" si="5"/>
        <v>103197.51</v>
      </c>
      <c r="L38" s="17"/>
      <c r="M38" s="17"/>
      <c r="N38" s="17">
        <f t="shared" si="3"/>
        <v>103197.51</v>
      </c>
      <c r="O38" s="17">
        <f t="shared" si="0"/>
        <v>103197.51</v>
      </c>
      <c r="P38" s="17">
        <f t="shared" si="1"/>
        <v>0</v>
      </c>
      <c r="Q38" s="17"/>
      <c r="R38" s="17">
        <f t="shared" si="2"/>
        <v>103197.51</v>
      </c>
    </row>
    <row r="39" spans="1:18" ht="12.75" customHeight="1">
      <c r="A39" s="15"/>
      <c r="B39" s="15"/>
      <c r="C39" s="15"/>
      <c r="D39" s="15"/>
      <c r="E39" s="41" t="s">
        <v>52</v>
      </c>
      <c r="F39" s="41" t="s">
        <v>204</v>
      </c>
      <c r="G39" s="16">
        <v>88888</v>
      </c>
      <c r="H39" s="17">
        <v>0</v>
      </c>
      <c r="I39" s="17">
        <v>0</v>
      </c>
      <c r="J39" s="17">
        <f t="shared" si="4"/>
        <v>0</v>
      </c>
      <c r="K39" s="17">
        <f t="shared" si="5"/>
        <v>0</v>
      </c>
      <c r="L39" s="17"/>
      <c r="M39" s="17"/>
      <c r="N39" s="17">
        <f t="shared" si="3"/>
        <v>0</v>
      </c>
      <c r="O39" s="17">
        <f t="shared" si="0"/>
        <v>0</v>
      </c>
      <c r="P39" s="17">
        <f t="shared" si="1"/>
        <v>0</v>
      </c>
      <c r="Q39" s="17"/>
      <c r="R39" s="17">
        <f t="shared" si="2"/>
        <v>0</v>
      </c>
    </row>
    <row r="40" spans="1:18" ht="12.75" customHeight="1">
      <c r="A40" s="15"/>
      <c r="B40" s="15"/>
      <c r="C40" s="15"/>
      <c r="D40" s="15"/>
      <c r="E40" s="41" t="s">
        <v>53</v>
      </c>
      <c r="F40" s="41" t="s">
        <v>149</v>
      </c>
      <c r="G40" s="16">
        <v>88888</v>
      </c>
      <c r="H40" s="17">
        <v>337710</v>
      </c>
      <c r="I40" s="17">
        <v>-120</v>
      </c>
      <c r="J40" s="17">
        <f t="shared" si="4"/>
        <v>337830</v>
      </c>
      <c r="K40" s="17">
        <f t="shared" si="5"/>
        <v>337830</v>
      </c>
      <c r="L40" s="17"/>
      <c r="M40" s="17"/>
      <c r="N40" s="17">
        <f t="shared" si="3"/>
        <v>337830</v>
      </c>
      <c r="O40" s="17">
        <f t="shared" si="0"/>
        <v>337830</v>
      </c>
      <c r="P40" s="17">
        <f t="shared" si="1"/>
        <v>0</v>
      </c>
      <c r="Q40" s="17"/>
      <c r="R40" s="17">
        <f t="shared" si="2"/>
        <v>337830</v>
      </c>
    </row>
    <row r="41" spans="1:18" ht="12.75" customHeight="1">
      <c r="A41" s="15"/>
      <c r="B41" s="15"/>
      <c r="C41" s="15"/>
      <c r="D41" s="15"/>
      <c r="E41" s="41" t="s">
        <v>54</v>
      </c>
      <c r="F41" s="41" t="s">
        <v>133</v>
      </c>
      <c r="G41" s="16">
        <v>88888</v>
      </c>
      <c r="H41" s="17">
        <v>18247876</v>
      </c>
      <c r="I41" s="17">
        <f>10982961.89-I42-I43</f>
        <v>10870110.89</v>
      </c>
      <c r="J41" s="17">
        <f t="shared" si="4"/>
        <v>7377765.109999999</v>
      </c>
      <c r="K41" s="17">
        <f>J41+J42+J43</f>
        <v>7264914.109999999</v>
      </c>
      <c r="L41" s="17"/>
      <c r="M41" s="17"/>
      <c r="N41" s="17">
        <f t="shared" si="3"/>
        <v>7264914.109999999</v>
      </c>
      <c r="O41" s="17">
        <f t="shared" si="0"/>
        <v>7264914.109999999</v>
      </c>
      <c r="P41" s="17">
        <f t="shared" si="1"/>
        <v>0</v>
      </c>
      <c r="Q41" s="17"/>
      <c r="R41" s="17">
        <f t="shared" si="2"/>
        <v>7264914.109999999</v>
      </c>
    </row>
    <row r="42" spans="1:18" ht="12.75" customHeight="1">
      <c r="A42" s="15"/>
      <c r="B42" s="15"/>
      <c r="C42" s="15"/>
      <c r="D42" s="15"/>
      <c r="E42" s="41" t="s">
        <v>54</v>
      </c>
      <c r="F42" s="41" t="s">
        <v>133</v>
      </c>
      <c r="G42" s="16">
        <v>33381</v>
      </c>
      <c r="H42" s="17">
        <v>0</v>
      </c>
      <c r="I42" s="17">
        <v>93056</v>
      </c>
      <c r="J42" s="17">
        <f>H42-I42</f>
        <v>-93056</v>
      </c>
      <c r="K42" s="17"/>
      <c r="L42" s="17"/>
      <c r="M42" s="17"/>
      <c r="N42" s="17">
        <f>SUM(K42:M42)</f>
        <v>0</v>
      </c>
      <c r="O42" s="17">
        <f>IF(G42=88888,N42,0)</f>
        <v>0</v>
      </c>
      <c r="P42" s="17">
        <f t="shared" si="1"/>
        <v>0</v>
      </c>
      <c r="Q42" s="17"/>
      <c r="R42" s="17">
        <f t="shared" si="2"/>
        <v>0</v>
      </c>
    </row>
    <row r="43" spans="1:18" ht="12.75" customHeight="1">
      <c r="A43" s="15"/>
      <c r="B43" s="15"/>
      <c r="C43" s="15"/>
      <c r="D43" s="15"/>
      <c r="E43" s="41" t="s">
        <v>54</v>
      </c>
      <c r="F43" s="41" t="s">
        <v>133</v>
      </c>
      <c r="G43" s="16">
        <v>36999</v>
      </c>
      <c r="H43" s="17">
        <v>0</v>
      </c>
      <c r="I43" s="17">
        <v>19795</v>
      </c>
      <c r="J43" s="17">
        <f>H43-I43</f>
        <v>-19795</v>
      </c>
      <c r="K43" s="17"/>
      <c r="L43" s="17"/>
      <c r="M43" s="17"/>
      <c r="N43" s="17">
        <f>SUM(K43:M43)</f>
        <v>0</v>
      </c>
      <c r="O43" s="17">
        <f>IF(G43=88888,N43,0)</f>
        <v>0</v>
      </c>
      <c r="P43" s="17">
        <f t="shared" si="1"/>
        <v>0</v>
      </c>
      <c r="Q43" s="17">
        <f>K43</f>
        <v>0</v>
      </c>
      <c r="R43" s="17">
        <f t="shared" si="2"/>
        <v>0</v>
      </c>
    </row>
    <row r="44" spans="1:18" ht="12.75" customHeight="1">
      <c r="A44" s="15"/>
      <c r="B44" s="15"/>
      <c r="C44" s="15"/>
      <c r="D44" s="15"/>
      <c r="E44" s="41" t="s">
        <v>55</v>
      </c>
      <c r="F44" s="41" t="s">
        <v>132</v>
      </c>
      <c r="G44" s="16">
        <v>88888</v>
      </c>
      <c r="H44" s="17">
        <v>521493</v>
      </c>
      <c r="I44" s="17">
        <v>521493</v>
      </c>
      <c r="J44" s="17">
        <f t="shared" si="4"/>
        <v>0</v>
      </c>
      <c r="K44" s="17">
        <f t="shared" si="5"/>
        <v>0</v>
      </c>
      <c r="L44" s="17"/>
      <c r="M44" s="17"/>
      <c r="N44" s="17">
        <f t="shared" si="3"/>
        <v>0</v>
      </c>
      <c r="O44" s="17">
        <f t="shared" si="0"/>
        <v>0</v>
      </c>
      <c r="P44" s="17">
        <f t="shared" si="1"/>
        <v>0</v>
      </c>
      <c r="Q44" s="17"/>
      <c r="R44" s="17">
        <f t="shared" si="2"/>
        <v>0</v>
      </c>
    </row>
    <row r="45" spans="1:18" ht="12.75" customHeight="1">
      <c r="A45" s="15"/>
      <c r="B45" s="15"/>
      <c r="C45" s="15"/>
      <c r="D45" s="15"/>
      <c r="E45" s="41" t="s">
        <v>56</v>
      </c>
      <c r="F45" s="41" t="s">
        <v>196</v>
      </c>
      <c r="G45" s="16">
        <v>88888</v>
      </c>
      <c r="H45" s="17">
        <v>25227</v>
      </c>
      <c r="I45" s="17">
        <f>25219.76-I46</f>
        <v>19546.76</v>
      </c>
      <c r="J45" s="17">
        <f t="shared" si="4"/>
        <v>5680.240000000002</v>
      </c>
      <c r="K45" s="17">
        <f>J45+J46</f>
        <v>7.240000000001601</v>
      </c>
      <c r="L45" s="17"/>
      <c r="M45" s="17"/>
      <c r="N45" s="17">
        <f t="shared" si="3"/>
        <v>7.240000000001601</v>
      </c>
      <c r="O45" s="17">
        <f t="shared" si="0"/>
        <v>7.240000000001601</v>
      </c>
      <c r="P45" s="17">
        <f t="shared" si="1"/>
        <v>0</v>
      </c>
      <c r="Q45" s="17"/>
      <c r="R45" s="17">
        <f t="shared" si="2"/>
        <v>7.240000000001601</v>
      </c>
    </row>
    <row r="46" spans="1:18" ht="12.75" customHeight="1">
      <c r="A46" s="15"/>
      <c r="B46" s="15"/>
      <c r="C46" s="15"/>
      <c r="D46" s="15"/>
      <c r="E46" s="41" t="s">
        <v>56</v>
      </c>
      <c r="F46" s="41" t="s">
        <v>196</v>
      </c>
      <c r="G46" s="16">
        <v>33381</v>
      </c>
      <c r="H46" s="17">
        <v>0</v>
      </c>
      <c r="I46" s="17">
        <v>5673</v>
      </c>
      <c r="J46" s="17">
        <f t="shared" si="4"/>
        <v>-5673</v>
      </c>
      <c r="K46" s="17"/>
      <c r="L46" s="17"/>
      <c r="M46" s="17"/>
      <c r="N46" s="17">
        <f>SUM(K46:M46)</f>
        <v>0</v>
      </c>
      <c r="O46" s="17">
        <f>IF(G46=88888,N46,0)</f>
        <v>0</v>
      </c>
      <c r="P46" s="17">
        <f>IF(G46=33381,N46,0)</f>
        <v>0</v>
      </c>
      <c r="Q46" s="17"/>
      <c r="R46" s="17">
        <f t="shared" si="2"/>
        <v>0</v>
      </c>
    </row>
    <row r="47" spans="1:18" ht="12.75" customHeight="1">
      <c r="A47" s="15"/>
      <c r="B47" s="15"/>
      <c r="C47" s="15"/>
      <c r="D47" s="15"/>
      <c r="E47" s="41" t="s">
        <v>57</v>
      </c>
      <c r="F47" s="41" t="s">
        <v>205</v>
      </c>
      <c r="G47" s="16">
        <v>88888</v>
      </c>
      <c r="H47" s="17">
        <f>12716960-H48</f>
        <v>10002055</v>
      </c>
      <c r="I47" s="17">
        <f>331447.53-I48</f>
        <v>227249.53000000003</v>
      </c>
      <c r="J47" s="17">
        <f t="shared" si="4"/>
        <v>9774805.47</v>
      </c>
      <c r="K47" s="17">
        <f t="shared" si="5"/>
        <v>9774805.47</v>
      </c>
      <c r="L47" s="17"/>
      <c r="M47" s="17"/>
      <c r="N47" s="17">
        <f t="shared" si="3"/>
        <v>9774805.47</v>
      </c>
      <c r="O47" s="17">
        <f t="shared" si="0"/>
        <v>9774805.47</v>
      </c>
      <c r="P47" s="17">
        <f t="shared" si="1"/>
        <v>0</v>
      </c>
      <c r="Q47" s="17"/>
      <c r="R47" s="17">
        <f t="shared" si="2"/>
        <v>9774805.47</v>
      </c>
    </row>
    <row r="48" spans="1:18" ht="12.75" customHeight="1">
      <c r="A48" s="15"/>
      <c r="B48" s="15"/>
      <c r="C48" s="15"/>
      <c r="D48" s="15"/>
      <c r="E48" s="41" t="s">
        <v>57</v>
      </c>
      <c r="F48" s="41" t="s">
        <v>205</v>
      </c>
      <c r="G48" s="16">
        <v>33381</v>
      </c>
      <c r="H48" s="17">
        <v>2714905</v>
      </c>
      <c r="I48" s="17">
        <v>104198</v>
      </c>
      <c r="J48" s="17">
        <f t="shared" si="4"/>
        <v>2610707</v>
      </c>
      <c r="K48" s="17">
        <f t="shared" si="5"/>
        <v>2610707</v>
      </c>
      <c r="L48" s="17"/>
      <c r="M48" s="17"/>
      <c r="N48" s="17">
        <f>SUM(K48:M48)</f>
        <v>2610707</v>
      </c>
      <c r="O48" s="17">
        <f>IF(G48=88888,N48,0)</f>
        <v>0</v>
      </c>
      <c r="P48" s="17">
        <f t="shared" si="1"/>
        <v>2610707</v>
      </c>
      <c r="Q48" s="17"/>
      <c r="R48" s="17">
        <f t="shared" si="2"/>
        <v>2610707</v>
      </c>
    </row>
    <row r="49" spans="1:18" ht="12.75" customHeight="1">
      <c r="A49" s="15"/>
      <c r="B49" s="15"/>
      <c r="C49" s="15"/>
      <c r="D49" s="15"/>
      <c r="E49" s="41" t="s">
        <v>58</v>
      </c>
      <c r="F49" s="41" t="s">
        <v>142</v>
      </c>
      <c r="G49" s="16">
        <v>88888</v>
      </c>
      <c r="H49" s="17">
        <f>760965-H50</f>
        <v>578337</v>
      </c>
      <c r="I49" s="17">
        <f>15343.82-I50</f>
        <v>14943.82</v>
      </c>
      <c r="J49" s="17">
        <f t="shared" si="4"/>
        <v>563393.18</v>
      </c>
      <c r="K49" s="17">
        <f t="shared" si="5"/>
        <v>563393.18</v>
      </c>
      <c r="L49" s="17"/>
      <c r="M49" s="17"/>
      <c r="N49" s="17">
        <f t="shared" si="3"/>
        <v>563393.18</v>
      </c>
      <c r="O49" s="17">
        <f t="shared" si="0"/>
        <v>563393.18</v>
      </c>
      <c r="P49" s="17">
        <f t="shared" si="1"/>
        <v>0</v>
      </c>
      <c r="Q49" s="17"/>
      <c r="R49" s="17">
        <f t="shared" si="2"/>
        <v>563393.18</v>
      </c>
    </row>
    <row r="50" spans="1:18" ht="12.75" customHeight="1">
      <c r="A50" s="15"/>
      <c r="B50" s="15"/>
      <c r="C50" s="15"/>
      <c r="D50" s="15"/>
      <c r="E50" s="41" t="s">
        <v>58</v>
      </c>
      <c r="F50" s="41" t="s">
        <v>142</v>
      </c>
      <c r="G50" s="16">
        <v>33381</v>
      </c>
      <c r="H50" s="17">
        <v>182628</v>
      </c>
      <c r="I50" s="17">
        <v>400</v>
      </c>
      <c r="J50" s="17">
        <f t="shared" si="4"/>
        <v>182228</v>
      </c>
      <c r="K50" s="17">
        <f t="shared" si="5"/>
        <v>182228</v>
      </c>
      <c r="L50" s="17"/>
      <c r="M50" s="17"/>
      <c r="N50" s="17">
        <f>SUM(K50:M50)</f>
        <v>182228</v>
      </c>
      <c r="O50" s="17">
        <f>IF(G50=88888,N50,0)</f>
        <v>0</v>
      </c>
      <c r="P50" s="17">
        <f t="shared" si="1"/>
        <v>182228</v>
      </c>
      <c r="Q50" s="17"/>
      <c r="R50" s="17">
        <f t="shared" si="2"/>
        <v>182228</v>
      </c>
    </row>
    <row r="51" spans="1:18" ht="12.75" customHeight="1">
      <c r="A51" s="15"/>
      <c r="B51" s="15"/>
      <c r="C51" s="15"/>
      <c r="D51" s="15"/>
      <c r="E51" s="41" t="s">
        <v>59</v>
      </c>
      <c r="F51" s="41" t="s">
        <v>130</v>
      </c>
      <c r="G51" s="16">
        <v>88888</v>
      </c>
      <c r="H51" s="17">
        <v>1782967</v>
      </c>
      <c r="I51" s="17">
        <v>1776830.23</v>
      </c>
      <c r="J51" s="17">
        <f t="shared" si="4"/>
        <v>6136.770000000019</v>
      </c>
      <c r="K51" s="17">
        <f t="shared" si="5"/>
        <v>6136.770000000019</v>
      </c>
      <c r="L51" s="17"/>
      <c r="M51" s="17"/>
      <c r="N51" s="17">
        <f t="shared" si="3"/>
        <v>6136.770000000019</v>
      </c>
      <c r="O51" s="17">
        <f t="shared" si="0"/>
        <v>6136.770000000019</v>
      </c>
      <c r="P51" s="17">
        <f t="shared" si="1"/>
        <v>0</v>
      </c>
      <c r="Q51" s="17"/>
      <c r="R51" s="17">
        <f t="shared" si="2"/>
        <v>6136.770000000019</v>
      </c>
    </row>
    <row r="52" spans="1:18" ht="12.75" customHeight="1">
      <c r="A52" s="15" t="s">
        <v>8</v>
      </c>
      <c r="B52" s="15" t="s">
        <v>9</v>
      </c>
      <c r="C52" s="15" t="s">
        <v>10</v>
      </c>
      <c r="D52" s="15" t="s">
        <v>11</v>
      </c>
      <c r="E52" s="41" t="s">
        <v>60</v>
      </c>
      <c r="F52" s="41" t="s">
        <v>134</v>
      </c>
      <c r="G52" s="16">
        <v>88888</v>
      </c>
      <c r="H52" s="17">
        <v>1119714</v>
      </c>
      <c r="I52" s="17">
        <v>311004.42</v>
      </c>
      <c r="J52" s="17">
        <f t="shared" si="4"/>
        <v>808709.5800000001</v>
      </c>
      <c r="K52" s="17">
        <f t="shared" si="5"/>
        <v>808709.5800000001</v>
      </c>
      <c r="L52" s="17"/>
      <c r="M52" s="17"/>
      <c r="N52" s="17">
        <f t="shared" si="3"/>
        <v>808709.5800000001</v>
      </c>
      <c r="O52" s="17">
        <f t="shared" si="0"/>
        <v>808709.5800000001</v>
      </c>
      <c r="P52" s="17">
        <f t="shared" si="1"/>
        <v>0</v>
      </c>
      <c r="Q52" s="17"/>
      <c r="R52" s="17">
        <f t="shared" si="2"/>
        <v>808709.5800000001</v>
      </c>
    </row>
    <row r="53" spans="1:18" ht="12.75" customHeight="1">
      <c r="A53" s="15"/>
      <c r="B53" s="15"/>
      <c r="C53" s="15"/>
      <c r="D53" s="15"/>
      <c r="E53" s="41" t="s">
        <v>61</v>
      </c>
      <c r="F53" s="41" t="s">
        <v>173</v>
      </c>
      <c r="G53" s="16">
        <v>88888</v>
      </c>
      <c r="H53" s="17">
        <f>4169729-H54</f>
        <v>3924729</v>
      </c>
      <c r="I53" s="17">
        <f>2391147.36-I54</f>
        <v>2185707.36</v>
      </c>
      <c r="J53" s="17">
        <f t="shared" si="4"/>
        <v>1739021.6400000001</v>
      </c>
      <c r="K53" s="17">
        <f t="shared" si="5"/>
        <v>1739021.6400000001</v>
      </c>
      <c r="L53" s="17"/>
      <c r="M53" s="17"/>
      <c r="N53" s="17">
        <f t="shared" si="3"/>
        <v>1739021.6400000001</v>
      </c>
      <c r="O53" s="17">
        <f t="shared" si="0"/>
        <v>1739021.6400000001</v>
      </c>
      <c r="P53" s="17">
        <f t="shared" si="1"/>
        <v>0</v>
      </c>
      <c r="Q53" s="17"/>
      <c r="R53" s="17">
        <f t="shared" si="2"/>
        <v>1739021.6400000001</v>
      </c>
    </row>
    <row r="54" spans="1:18" ht="12.75" customHeight="1">
      <c r="A54" s="15"/>
      <c r="B54" s="15"/>
      <c r="C54" s="15"/>
      <c r="D54" s="15"/>
      <c r="E54" s="41" t="s">
        <v>61</v>
      </c>
      <c r="F54" s="41" t="s">
        <v>173</v>
      </c>
      <c r="G54" s="16">
        <v>33381</v>
      </c>
      <c r="H54" s="17">
        <v>245000</v>
      </c>
      <c r="I54" s="17">
        <v>205440</v>
      </c>
      <c r="J54" s="17">
        <f>H54-I54</f>
        <v>39560</v>
      </c>
      <c r="K54" s="17">
        <f t="shared" si="5"/>
        <v>39560</v>
      </c>
      <c r="L54" s="17"/>
      <c r="M54" s="17"/>
      <c r="N54" s="17">
        <f>SUM(K54:M54)</f>
        <v>39560</v>
      </c>
      <c r="O54" s="17">
        <f>IF(G54=88888,N54,0)</f>
        <v>0</v>
      </c>
      <c r="P54" s="17">
        <f t="shared" si="1"/>
        <v>39560</v>
      </c>
      <c r="Q54" s="17"/>
      <c r="R54" s="17">
        <f t="shared" si="2"/>
        <v>39560</v>
      </c>
    </row>
    <row r="55" spans="1:18" ht="12.75" customHeight="1">
      <c r="A55" s="15"/>
      <c r="B55" s="15"/>
      <c r="C55" s="15"/>
      <c r="D55" s="15"/>
      <c r="E55" s="41" t="s">
        <v>62</v>
      </c>
      <c r="F55" s="41" t="s">
        <v>135</v>
      </c>
      <c r="G55" s="16">
        <v>88888</v>
      </c>
      <c r="H55" s="17">
        <v>1025397</v>
      </c>
      <c r="I55" s="17">
        <v>617588.2</v>
      </c>
      <c r="J55" s="17">
        <f t="shared" si="4"/>
        <v>407808.80000000005</v>
      </c>
      <c r="K55" s="17">
        <f t="shared" si="5"/>
        <v>407808.80000000005</v>
      </c>
      <c r="L55" s="17"/>
      <c r="M55" s="17"/>
      <c r="N55" s="17">
        <f t="shared" si="3"/>
        <v>407808.80000000005</v>
      </c>
      <c r="O55" s="17">
        <f t="shared" si="0"/>
        <v>407808.80000000005</v>
      </c>
      <c r="P55" s="17">
        <f t="shared" si="1"/>
        <v>0</v>
      </c>
      <c r="Q55" s="17"/>
      <c r="R55" s="17">
        <f t="shared" si="2"/>
        <v>407808.80000000005</v>
      </c>
    </row>
    <row r="56" spans="1:18" ht="12.75" customHeight="1">
      <c r="A56" s="15"/>
      <c r="B56" s="15"/>
      <c r="C56" s="15"/>
      <c r="D56" s="15"/>
      <c r="E56" s="41" t="s">
        <v>63</v>
      </c>
      <c r="F56" s="41" t="s">
        <v>143</v>
      </c>
      <c r="G56" s="16">
        <v>88888</v>
      </c>
      <c r="H56" s="17">
        <v>0</v>
      </c>
      <c r="I56" s="17">
        <v>0</v>
      </c>
      <c r="J56" s="17">
        <f t="shared" si="4"/>
        <v>0</v>
      </c>
      <c r="K56" s="17">
        <f t="shared" si="5"/>
        <v>0</v>
      </c>
      <c r="L56" s="17"/>
      <c r="M56" s="17"/>
      <c r="N56" s="17">
        <f t="shared" si="3"/>
        <v>0</v>
      </c>
      <c r="O56" s="17">
        <f t="shared" si="0"/>
        <v>0</v>
      </c>
      <c r="P56" s="17">
        <f t="shared" si="1"/>
        <v>0</v>
      </c>
      <c r="Q56" s="17"/>
      <c r="R56" s="17">
        <f t="shared" si="2"/>
        <v>0</v>
      </c>
    </row>
    <row r="57" spans="1:18" ht="12.75" customHeight="1">
      <c r="A57" s="15"/>
      <c r="B57" s="15"/>
      <c r="C57" s="15"/>
      <c r="D57" s="15"/>
      <c r="E57" s="41" t="s">
        <v>64</v>
      </c>
      <c r="F57" s="41" t="s">
        <v>144</v>
      </c>
      <c r="G57" s="16">
        <v>88888</v>
      </c>
      <c r="H57" s="17">
        <v>6546456</v>
      </c>
      <c r="I57" s="17">
        <f>2893399.6-I58</f>
        <v>-2969314.4</v>
      </c>
      <c r="J57" s="17">
        <f t="shared" si="4"/>
        <v>9515770.4</v>
      </c>
      <c r="K57" s="17">
        <f>J57+J58</f>
        <v>3653056.4000000004</v>
      </c>
      <c r="L57" s="17"/>
      <c r="M57" s="17"/>
      <c r="N57" s="17">
        <f t="shared" si="3"/>
        <v>3653056.4000000004</v>
      </c>
      <c r="O57" s="17">
        <f t="shared" si="0"/>
        <v>3653056.4000000004</v>
      </c>
      <c r="P57" s="17">
        <f t="shared" si="1"/>
        <v>0</v>
      </c>
      <c r="Q57" s="17"/>
      <c r="R57" s="17">
        <f t="shared" si="2"/>
        <v>3653056.4000000004</v>
      </c>
    </row>
    <row r="58" spans="1:18" ht="12.75" customHeight="1">
      <c r="A58" s="15"/>
      <c r="B58" s="15"/>
      <c r="C58" s="15"/>
      <c r="D58" s="15"/>
      <c r="E58" s="41" t="s">
        <v>64</v>
      </c>
      <c r="F58" s="41" t="s">
        <v>144</v>
      </c>
      <c r="G58" s="16">
        <v>33381</v>
      </c>
      <c r="H58" s="17">
        <v>0</v>
      </c>
      <c r="I58" s="17">
        <v>5862714</v>
      </c>
      <c r="J58" s="17">
        <f>H58-I58</f>
        <v>-5862714</v>
      </c>
      <c r="K58" s="17"/>
      <c r="L58" s="17"/>
      <c r="M58" s="17"/>
      <c r="N58" s="17">
        <f>SUM(K58:M58)</f>
        <v>0</v>
      </c>
      <c r="O58" s="17">
        <f>IF(G58=88888,N58,0)</f>
        <v>0</v>
      </c>
      <c r="P58" s="17">
        <f>IF(G58=33381,N58,0)</f>
        <v>0</v>
      </c>
      <c r="Q58" s="17"/>
      <c r="R58" s="17">
        <f t="shared" si="2"/>
        <v>0</v>
      </c>
    </row>
    <row r="59" spans="1:18" ht="12.75" customHeight="1">
      <c r="A59" s="15"/>
      <c r="B59" s="15"/>
      <c r="C59" s="15"/>
      <c r="D59" s="15"/>
      <c r="E59" s="41" t="s">
        <v>65</v>
      </c>
      <c r="F59" s="41" t="s">
        <v>164</v>
      </c>
      <c r="G59" s="16">
        <v>88888</v>
      </c>
      <c r="H59" s="17">
        <f>57147662-H60-H61</f>
        <v>44064651</v>
      </c>
      <c r="I59" s="17">
        <f>7631162.44-I60-I62</f>
        <v>7540431.44</v>
      </c>
      <c r="J59" s="17">
        <f t="shared" si="4"/>
        <v>36524219.56</v>
      </c>
      <c r="K59" s="17">
        <f>J59+J62</f>
        <v>36487947.56</v>
      </c>
      <c r="L59" s="17"/>
      <c r="M59" s="17"/>
      <c r="N59" s="17">
        <f t="shared" si="3"/>
        <v>36487947.56</v>
      </c>
      <c r="O59" s="17">
        <f t="shared" si="0"/>
        <v>36487947.56</v>
      </c>
      <c r="P59" s="17">
        <f t="shared" si="1"/>
        <v>0</v>
      </c>
      <c r="Q59" s="17"/>
      <c r="R59" s="17">
        <f t="shared" si="2"/>
        <v>36487947.56</v>
      </c>
    </row>
    <row r="60" spans="1:18" ht="12.75" customHeight="1">
      <c r="A60" s="15"/>
      <c r="B60" s="15"/>
      <c r="C60" s="15"/>
      <c r="D60" s="15"/>
      <c r="E60" s="41" t="s">
        <v>65</v>
      </c>
      <c r="F60" s="41" t="s">
        <v>164</v>
      </c>
      <c r="G60" s="16">
        <v>33381</v>
      </c>
      <c r="H60" s="17">
        <v>3083011</v>
      </c>
      <c r="I60" s="17">
        <v>54459</v>
      </c>
      <c r="J60" s="17">
        <f t="shared" si="4"/>
        <v>3028552</v>
      </c>
      <c r="K60" s="17">
        <f t="shared" si="5"/>
        <v>3028552</v>
      </c>
      <c r="L60" s="17"/>
      <c r="M60" s="17"/>
      <c r="N60" s="17">
        <f>SUM(K60:M60)</f>
        <v>3028552</v>
      </c>
      <c r="O60" s="17">
        <f>IF(G60=88888,N60,0)</f>
        <v>0</v>
      </c>
      <c r="P60" s="17">
        <f t="shared" si="1"/>
        <v>3028552</v>
      </c>
      <c r="Q60" s="17"/>
      <c r="R60" s="17">
        <f t="shared" si="2"/>
        <v>3028552</v>
      </c>
    </row>
    <row r="61" spans="1:18" ht="12.75" customHeight="1">
      <c r="A61" s="15"/>
      <c r="B61" s="15"/>
      <c r="C61" s="15"/>
      <c r="D61" s="15"/>
      <c r="E61" s="41" t="s">
        <v>65</v>
      </c>
      <c r="F61" s="41" t="s">
        <v>164</v>
      </c>
      <c r="G61" s="16">
        <v>33800</v>
      </c>
      <c r="H61" s="17">
        <v>10000000</v>
      </c>
      <c r="I61" s="17">
        <v>0</v>
      </c>
      <c r="J61" s="17">
        <f t="shared" si="4"/>
        <v>10000000</v>
      </c>
      <c r="K61" s="17">
        <f t="shared" si="5"/>
        <v>10000000</v>
      </c>
      <c r="L61" s="17"/>
      <c r="M61" s="17"/>
      <c r="N61" s="17">
        <f>SUM(K61:M61)</f>
        <v>10000000</v>
      </c>
      <c r="O61" s="17">
        <f>IF(G61=88888,N61,0)</f>
        <v>0</v>
      </c>
      <c r="P61" s="17">
        <f t="shared" si="1"/>
        <v>0</v>
      </c>
      <c r="Q61" s="17">
        <f>K61</f>
        <v>10000000</v>
      </c>
      <c r="R61" s="17">
        <f t="shared" si="2"/>
        <v>10000000</v>
      </c>
    </row>
    <row r="62" spans="1:18" ht="12.75" customHeight="1">
      <c r="A62" s="15"/>
      <c r="B62" s="15"/>
      <c r="C62" s="15"/>
      <c r="D62" s="15"/>
      <c r="E62" s="41" t="s">
        <v>65</v>
      </c>
      <c r="F62" s="41" t="s">
        <v>164</v>
      </c>
      <c r="G62" s="16">
        <v>36240</v>
      </c>
      <c r="H62" s="17">
        <v>0</v>
      </c>
      <c r="I62" s="17">
        <v>36272</v>
      </c>
      <c r="J62" s="17">
        <f t="shared" si="4"/>
        <v>-36272</v>
      </c>
      <c r="K62" s="17"/>
      <c r="L62" s="17"/>
      <c r="M62" s="17"/>
      <c r="N62" s="17">
        <f>SUM(K62:M62)</f>
        <v>0</v>
      </c>
      <c r="O62" s="17">
        <f>IF(G62=88888,N62,0)</f>
        <v>0</v>
      </c>
      <c r="P62" s="17">
        <f t="shared" si="1"/>
        <v>0</v>
      </c>
      <c r="Q62" s="17">
        <f>K62</f>
        <v>0</v>
      </c>
      <c r="R62" s="17">
        <f t="shared" si="2"/>
        <v>0</v>
      </c>
    </row>
    <row r="63" spans="1:18" ht="12.75" customHeight="1">
      <c r="A63" s="15"/>
      <c r="B63" s="15"/>
      <c r="C63" s="15"/>
      <c r="D63" s="15"/>
      <c r="E63" s="41" t="s">
        <v>66</v>
      </c>
      <c r="F63" s="41" t="s">
        <v>165</v>
      </c>
      <c r="G63" s="16">
        <v>88888</v>
      </c>
      <c r="H63" s="17">
        <v>0</v>
      </c>
      <c r="I63" s="17">
        <v>0</v>
      </c>
      <c r="J63" s="17">
        <f t="shared" si="4"/>
        <v>0</v>
      </c>
      <c r="K63" s="17">
        <f t="shared" si="5"/>
        <v>0</v>
      </c>
      <c r="L63" s="17"/>
      <c r="M63" s="17"/>
      <c r="N63" s="17">
        <f t="shared" si="3"/>
        <v>0</v>
      </c>
      <c r="O63" s="17">
        <f t="shared" si="0"/>
        <v>0</v>
      </c>
      <c r="P63" s="17">
        <f t="shared" si="1"/>
        <v>0</v>
      </c>
      <c r="Q63" s="17"/>
      <c r="R63" s="17">
        <f t="shared" si="2"/>
        <v>0</v>
      </c>
    </row>
    <row r="64" spans="1:18" ht="12.75" customHeight="1">
      <c r="A64" s="15"/>
      <c r="B64" s="15"/>
      <c r="C64" s="15"/>
      <c r="D64" s="15"/>
      <c r="E64" s="41" t="s">
        <v>67</v>
      </c>
      <c r="F64" s="41" t="s">
        <v>174</v>
      </c>
      <c r="G64" s="16">
        <v>88888</v>
      </c>
      <c r="H64" s="17">
        <v>311103</v>
      </c>
      <c r="I64" s="17">
        <f>194770.6-I65</f>
        <v>129169.6</v>
      </c>
      <c r="J64" s="17">
        <f t="shared" si="4"/>
        <v>181933.4</v>
      </c>
      <c r="K64" s="17">
        <f>J64+J65</f>
        <v>116332.4</v>
      </c>
      <c r="L64" s="17"/>
      <c r="M64" s="17"/>
      <c r="N64" s="17">
        <f t="shared" si="3"/>
        <v>116332.4</v>
      </c>
      <c r="O64" s="17">
        <f t="shared" si="0"/>
        <v>116332.4</v>
      </c>
      <c r="P64" s="17">
        <f t="shared" si="1"/>
        <v>0</v>
      </c>
      <c r="Q64" s="17"/>
      <c r="R64" s="17">
        <f t="shared" si="2"/>
        <v>116332.4</v>
      </c>
    </row>
    <row r="65" spans="1:18" ht="12.75" customHeight="1">
      <c r="A65" s="15"/>
      <c r="B65" s="15"/>
      <c r="C65" s="15"/>
      <c r="D65" s="15"/>
      <c r="E65" s="41" t="s">
        <v>67</v>
      </c>
      <c r="F65" s="41" t="s">
        <v>174</v>
      </c>
      <c r="G65" s="16">
        <v>33381</v>
      </c>
      <c r="H65" s="17">
        <v>0</v>
      </c>
      <c r="I65" s="17">
        <v>65601</v>
      </c>
      <c r="J65" s="17">
        <f t="shared" si="4"/>
        <v>-65601</v>
      </c>
      <c r="K65" s="17"/>
      <c r="L65" s="17"/>
      <c r="M65" s="17"/>
      <c r="N65" s="17">
        <f t="shared" si="3"/>
        <v>0</v>
      </c>
      <c r="O65" s="17">
        <f t="shared" si="0"/>
        <v>0</v>
      </c>
      <c r="P65" s="17">
        <f t="shared" si="1"/>
        <v>0</v>
      </c>
      <c r="Q65" s="17"/>
      <c r="R65" s="17">
        <f t="shared" si="2"/>
        <v>0</v>
      </c>
    </row>
    <row r="66" spans="1:18" ht="12.75" customHeight="1">
      <c r="A66" s="15"/>
      <c r="B66" s="15"/>
      <c r="C66" s="15"/>
      <c r="D66" s="15"/>
      <c r="E66" s="41" t="s">
        <v>68</v>
      </c>
      <c r="F66" s="41" t="s">
        <v>175</v>
      </c>
      <c r="G66" s="16">
        <v>88888</v>
      </c>
      <c r="H66" s="17">
        <v>3381</v>
      </c>
      <c r="I66" s="17">
        <v>0</v>
      </c>
      <c r="J66" s="17">
        <f t="shared" si="4"/>
        <v>3381</v>
      </c>
      <c r="K66" s="17">
        <f aca="true" t="shared" si="6" ref="K66:K108">J66</f>
        <v>3381</v>
      </c>
      <c r="L66" s="17"/>
      <c r="M66" s="17"/>
      <c r="N66" s="17">
        <f t="shared" si="3"/>
        <v>3381</v>
      </c>
      <c r="O66" s="17">
        <f t="shared" si="0"/>
        <v>3381</v>
      </c>
      <c r="P66" s="17">
        <f t="shared" si="1"/>
        <v>0</v>
      </c>
      <c r="Q66" s="17"/>
      <c r="R66" s="17">
        <f t="shared" si="2"/>
        <v>3381</v>
      </c>
    </row>
    <row r="67" spans="1:18" ht="12.75" customHeight="1">
      <c r="A67" s="15"/>
      <c r="B67" s="15"/>
      <c r="C67" s="15"/>
      <c r="D67" s="15"/>
      <c r="E67" s="41" t="s">
        <v>69</v>
      </c>
      <c r="F67" s="41" t="s">
        <v>176</v>
      </c>
      <c r="G67" s="16">
        <v>88888</v>
      </c>
      <c r="H67" s="17">
        <v>-6709</v>
      </c>
      <c r="I67" s="17">
        <v>-13857.29</v>
      </c>
      <c r="J67" s="17">
        <f t="shared" si="4"/>
        <v>7148.290000000001</v>
      </c>
      <c r="K67" s="17">
        <f t="shared" si="6"/>
        <v>7148.290000000001</v>
      </c>
      <c r="L67" s="17"/>
      <c r="M67" s="17"/>
      <c r="N67" s="17">
        <f t="shared" si="3"/>
        <v>7148.290000000001</v>
      </c>
      <c r="O67" s="17">
        <f t="shared" si="0"/>
        <v>7148.290000000001</v>
      </c>
      <c r="P67" s="17">
        <f t="shared" si="1"/>
        <v>0</v>
      </c>
      <c r="Q67" s="17"/>
      <c r="R67" s="17">
        <f t="shared" si="2"/>
        <v>7148.290000000001</v>
      </c>
    </row>
    <row r="68" spans="1:18" ht="12.75" customHeight="1">
      <c r="A68" s="15"/>
      <c r="B68" s="15"/>
      <c r="C68" s="15"/>
      <c r="D68" s="15"/>
      <c r="E68" s="41" t="s">
        <v>70</v>
      </c>
      <c r="F68" s="41" t="s">
        <v>177</v>
      </c>
      <c r="G68" s="16">
        <v>88888</v>
      </c>
      <c r="H68" s="17">
        <v>4617852</v>
      </c>
      <c r="I68" s="17">
        <f>891986.79-I69</f>
        <v>66666.79000000004</v>
      </c>
      <c r="J68" s="17">
        <f t="shared" si="4"/>
        <v>4551185.21</v>
      </c>
      <c r="K68" s="17">
        <f>J68+J69</f>
        <v>3725865.21</v>
      </c>
      <c r="L68" s="17"/>
      <c r="M68" s="17"/>
      <c r="N68" s="17">
        <f t="shared" si="3"/>
        <v>3725865.21</v>
      </c>
      <c r="O68" s="17">
        <f t="shared" si="0"/>
        <v>3725865.21</v>
      </c>
      <c r="P68" s="17">
        <f t="shared" si="1"/>
        <v>0</v>
      </c>
      <c r="Q68" s="17"/>
      <c r="R68" s="17">
        <f t="shared" si="2"/>
        <v>3725865.21</v>
      </c>
    </row>
    <row r="69" spans="1:18" ht="12.75" customHeight="1">
      <c r="A69" s="15"/>
      <c r="B69" s="15"/>
      <c r="C69" s="15"/>
      <c r="D69" s="15"/>
      <c r="E69" s="41" t="s">
        <v>70</v>
      </c>
      <c r="F69" s="41" t="s">
        <v>177</v>
      </c>
      <c r="G69" s="16">
        <v>33381</v>
      </c>
      <c r="H69" s="17">
        <v>0</v>
      </c>
      <c r="I69" s="17">
        <v>825320</v>
      </c>
      <c r="J69" s="17">
        <f t="shared" si="4"/>
        <v>-825320</v>
      </c>
      <c r="K69" s="17"/>
      <c r="L69" s="17"/>
      <c r="M69" s="17"/>
      <c r="N69" s="17">
        <f>SUM(K69:M69)</f>
        <v>0</v>
      </c>
      <c r="O69" s="17">
        <f>IF(G69=88888,N69,0)</f>
        <v>0</v>
      </c>
      <c r="P69" s="17">
        <f t="shared" si="1"/>
        <v>0</v>
      </c>
      <c r="Q69" s="17"/>
      <c r="R69" s="17">
        <f t="shared" si="2"/>
        <v>0</v>
      </c>
    </row>
    <row r="70" spans="1:18" ht="12.75" customHeight="1">
      <c r="A70" s="15"/>
      <c r="B70" s="15"/>
      <c r="C70" s="15"/>
      <c r="D70" s="15"/>
      <c r="E70" s="41" t="s">
        <v>71</v>
      </c>
      <c r="F70" s="41" t="s">
        <v>178</v>
      </c>
      <c r="G70" s="16">
        <v>88888</v>
      </c>
      <c r="H70" s="17">
        <v>52</v>
      </c>
      <c r="I70" s="17">
        <v>0</v>
      </c>
      <c r="J70" s="17">
        <f t="shared" si="4"/>
        <v>52</v>
      </c>
      <c r="K70" s="17">
        <f t="shared" si="6"/>
        <v>52</v>
      </c>
      <c r="L70" s="17"/>
      <c r="M70" s="17"/>
      <c r="N70" s="17">
        <f t="shared" si="3"/>
        <v>52</v>
      </c>
      <c r="O70" s="17">
        <f t="shared" si="0"/>
        <v>52</v>
      </c>
      <c r="P70" s="17">
        <f t="shared" si="1"/>
        <v>0</v>
      </c>
      <c r="Q70" s="17"/>
      <c r="R70" s="17">
        <f t="shared" si="2"/>
        <v>52</v>
      </c>
    </row>
    <row r="71" spans="1:18" ht="12.75" customHeight="1">
      <c r="A71" s="15"/>
      <c r="B71" s="15"/>
      <c r="C71" s="15"/>
      <c r="D71" s="15"/>
      <c r="E71" s="41" t="s">
        <v>72</v>
      </c>
      <c r="F71" s="41" t="s">
        <v>179</v>
      </c>
      <c r="G71" s="16">
        <v>88888</v>
      </c>
      <c r="H71" s="17">
        <v>128</v>
      </c>
      <c r="I71" s="17">
        <f>-8.17-I72</f>
        <v>-33449.17</v>
      </c>
      <c r="J71" s="17">
        <f t="shared" si="4"/>
        <v>33577.17</v>
      </c>
      <c r="K71" s="17">
        <f>J71+J72</f>
        <v>136.16999999999825</v>
      </c>
      <c r="L71" s="17"/>
      <c r="M71" s="17"/>
      <c r="N71" s="17">
        <f t="shared" si="3"/>
        <v>136.16999999999825</v>
      </c>
      <c r="O71" s="17">
        <f t="shared" si="0"/>
        <v>136.16999999999825</v>
      </c>
      <c r="P71" s="17">
        <f t="shared" si="1"/>
        <v>0</v>
      </c>
      <c r="Q71" s="17"/>
      <c r="R71" s="17">
        <f t="shared" si="2"/>
        <v>136.16999999999825</v>
      </c>
    </row>
    <row r="72" spans="1:18" ht="12.75" customHeight="1">
      <c r="A72" s="15"/>
      <c r="B72" s="15"/>
      <c r="C72" s="15"/>
      <c r="D72" s="15"/>
      <c r="E72" s="41" t="s">
        <v>72</v>
      </c>
      <c r="F72" s="41" t="s">
        <v>179</v>
      </c>
      <c r="G72" s="16">
        <v>33381</v>
      </c>
      <c r="H72" s="17">
        <v>0</v>
      </c>
      <c r="I72" s="17">
        <v>33441</v>
      </c>
      <c r="J72" s="17">
        <f t="shared" si="4"/>
        <v>-33441</v>
      </c>
      <c r="K72" s="17"/>
      <c r="L72" s="17"/>
      <c r="M72" s="17"/>
      <c r="N72" s="17">
        <f>SUM(K72:M72)</f>
        <v>0</v>
      </c>
      <c r="O72" s="17">
        <f>IF(G72=88888,N72,0)</f>
        <v>0</v>
      </c>
      <c r="P72" s="17">
        <f t="shared" si="1"/>
        <v>0</v>
      </c>
      <c r="Q72" s="17"/>
      <c r="R72" s="17">
        <f t="shared" si="2"/>
        <v>0</v>
      </c>
    </row>
    <row r="73" spans="1:18" ht="12.75" customHeight="1">
      <c r="A73" s="15"/>
      <c r="B73" s="15"/>
      <c r="C73" s="15"/>
      <c r="D73" s="15"/>
      <c r="E73" s="41" t="s">
        <v>73</v>
      </c>
      <c r="F73" s="41" t="s">
        <v>223</v>
      </c>
      <c r="G73" s="16">
        <v>88888</v>
      </c>
      <c r="H73" s="17">
        <v>13283</v>
      </c>
      <c r="I73" s="17">
        <v>0</v>
      </c>
      <c r="J73" s="17">
        <f t="shared" si="4"/>
        <v>13283</v>
      </c>
      <c r="K73" s="17">
        <f t="shared" si="6"/>
        <v>13283</v>
      </c>
      <c r="L73" s="17"/>
      <c r="M73" s="17"/>
      <c r="N73" s="17">
        <f t="shared" si="3"/>
        <v>13283</v>
      </c>
      <c r="O73" s="17">
        <f t="shared" si="0"/>
        <v>13283</v>
      </c>
      <c r="P73" s="17">
        <f t="shared" si="1"/>
        <v>0</v>
      </c>
      <c r="Q73" s="17"/>
      <c r="R73" s="17">
        <f t="shared" si="2"/>
        <v>13283</v>
      </c>
    </row>
    <row r="74" spans="1:18" ht="12.75" customHeight="1">
      <c r="A74" s="15"/>
      <c r="B74" s="15"/>
      <c r="C74" s="15"/>
      <c r="D74" s="15"/>
      <c r="E74" s="41" t="s">
        <v>74</v>
      </c>
      <c r="F74" s="41" t="s">
        <v>138</v>
      </c>
      <c r="G74" s="16">
        <v>88888</v>
      </c>
      <c r="H74" s="17">
        <v>0</v>
      </c>
      <c r="I74" s="17">
        <v>0</v>
      </c>
      <c r="J74" s="17">
        <f t="shared" si="4"/>
        <v>0</v>
      </c>
      <c r="K74" s="17">
        <f t="shared" si="6"/>
        <v>0</v>
      </c>
      <c r="L74" s="17"/>
      <c r="M74" s="17"/>
      <c r="N74" s="17">
        <f t="shared" si="3"/>
        <v>0</v>
      </c>
      <c r="O74" s="17">
        <f t="shared" si="0"/>
        <v>0</v>
      </c>
      <c r="P74" s="17">
        <f t="shared" si="1"/>
        <v>0</v>
      </c>
      <c r="Q74" s="17"/>
      <c r="R74" s="17">
        <f t="shared" si="2"/>
        <v>0</v>
      </c>
    </row>
    <row r="75" spans="1:18" ht="12.75" customHeight="1">
      <c r="A75" s="15"/>
      <c r="B75" s="15"/>
      <c r="C75" s="15"/>
      <c r="D75" s="15"/>
      <c r="E75" s="41" t="s">
        <v>75</v>
      </c>
      <c r="F75" s="41" t="s">
        <v>206</v>
      </c>
      <c r="G75" s="16">
        <v>88888</v>
      </c>
      <c r="H75" s="17">
        <v>880633</v>
      </c>
      <c r="I75" s="17">
        <f>121234.41-I76</f>
        <v>23143.410000000003</v>
      </c>
      <c r="J75" s="17">
        <f t="shared" si="4"/>
        <v>857489.59</v>
      </c>
      <c r="K75" s="17">
        <f>J75+J76</f>
        <v>759398.59</v>
      </c>
      <c r="L75" s="17"/>
      <c r="M75" s="17"/>
      <c r="N75" s="17">
        <f t="shared" si="3"/>
        <v>759398.59</v>
      </c>
      <c r="O75" s="17">
        <f t="shared" si="0"/>
        <v>759398.59</v>
      </c>
      <c r="P75" s="17">
        <f t="shared" si="1"/>
        <v>0</v>
      </c>
      <c r="Q75" s="17"/>
      <c r="R75" s="17">
        <f t="shared" si="2"/>
        <v>759398.59</v>
      </c>
    </row>
    <row r="76" spans="1:18" ht="12.75" customHeight="1">
      <c r="A76" s="15"/>
      <c r="B76" s="15"/>
      <c r="C76" s="15"/>
      <c r="D76" s="15"/>
      <c r="E76" s="41" t="s">
        <v>75</v>
      </c>
      <c r="F76" s="41" t="s">
        <v>206</v>
      </c>
      <c r="G76" s="16">
        <v>33381</v>
      </c>
      <c r="H76" s="17">
        <v>0</v>
      </c>
      <c r="I76" s="17">
        <v>98091</v>
      </c>
      <c r="J76" s="17">
        <f>H76-I76</f>
        <v>-98091</v>
      </c>
      <c r="K76" s="17"/>
      <c r="L76" s="17"/>
      <c r="M76" s="17"/>
      <c r="N76" s="17">
        <f>SUM(K76:M76)</f>
        <v>0</v>
      </c>
      <c r="O76" s="17">
        <f>IF(G76=88888,N76,0)</f>
        <v>0</v>
      </c>
      <c r="P76" s="17">
        <f t="shared" si="1"/>
        <v>0</v>
      </c>
      <c r="Q76" s="17"/>
      <c r="R76" s="17">
        <f t="shared" si="2"/>
        <v>0</v>
      </c>
    </row>
    <row r="77" spans="1:18" ht="12.75" customHeight="1">
      <c r="A77" s="15"/>
      <c r="B77" s="15"/>
      <c r="C77" s="15"/>
      <c r="D77" s="15"/>
      <c r="E77" s="41" t="s">
        <v>76</v>
      </c>
      <c r="F77" s="41" t="s">
        <v>207</v>
      </c>
      <c r="G77" s="16">
        <v>88888</v>
      </c>
      <c r="H77" s="17">
        <v>228608</v>
      </c>
      <c r="I77" s="17">
        <v>137495.34</v>
      </c>
      <c r="J77" s="17">
        <f t="shared" si="4"/>
        <v>91112.66</v>
      </c>
      <c r="K77" s="17">
        <f t="shared" si="6"/>
        <v>91112.66</v>
      </c>
      <c r="L77" s="17"/>
      <c r="M77" s="17"/>
      <c r="N77" s="17">
        <f t="shared" si="3"/>
        <v>91112.66</v>
      </c>
      <c r="O77" s="17">
        <f t="shared" si="0"/>
        <v>91112.66</v>
      </c>
      <c r="P77" s="17">
        <f t="shared" si="1"/>
        <v>0</v>
      </c>
      <c r="Q77" s="17"/>
      <c r="R77" s="17">
        <f t="shared" si="2"/>
        <v>91112.66</v>
      </c>
    </row>
    <row r="78" spans="1:18" ht="12.75" customHeight="1">
      <c r="A78" s="15"/>
      <c r="B78" s="15"/>
      <c r="C78" s="15"/>
      <c r="D78" s="15"/>
      <c r="E78" s="41" t="s">
        <v>77</v>
      </c>
      <c r="F78" s="41" t="s">
        <v>208</v>
      </c>
      <c r="G78" s="16">
        <v>88888</v>
      </c>
      <c r="H78" s="17">
        <v>240929</v>
      </c>
      <c r="I78" s="17">
        <f>116420.79-I79</f>
        <v>114530.79</v>
      </c>
      <c r="J78" s="17">
        <f t="shared" si="4"/>
        <v>126398.21</v>
      </c>
      <c r="K78" s="17">
        <f>J78+J79</f>
        <v>124508.21</v>
      </c>
      <c r="L78" s="17"/>
      <c r="M78" s="17"/>
      <c r="N78" s="17">
        <f t="shared" si="3"/>
        <v>124508.21</v>
      </c>
      <c r="O78" s="17">
        <f t="shared" si="0"/>
        <v>124508.21</v>
      </c>
      <c r="P78" s="17">
        <f t="shared" si="1"/>
        <v>0</v>
      </c>
      <c r="Q78" s="17"/>
      <c r="R78" s="17">
        <f t="shared" si="2"/>
        <v>124508.21</v>
      </c>
    </row>
    <row r="79" spans="1:18" ht="12.75" customHeight="1">
      <c r="A79" s="15"/>
      <c r="B79" s="15"/>
      <c r="C79" s="15"/>
      <c r="D79" s="15"/>
      <c r="E79" s="41" t="s">
        <v>77</v>
      </c>
      <c r="F79" s="41" t="s">
        <v>208</v>
      </c>
      <c r="G79" s="16">
        <v>33381</v>
      </c>
      <c r="H79" s="17">
        <v>0</v>
      </c>
      <c r="I79" s="17">
        <v>1890</v>
      </c>
      <c r="J79" s="17">
        <f>H79-I79</f>
        <v>-1890</v>
      </c>
      <c r="K79" s="17"/>
      <c r="L79" s="17"/>
      <c r="M79" s="17"/>
      <c r="N79" s="17">
        <f t="shared" si="3"/>
        <v>0</v>
      </c>
      <c r="O79" s="17">
        <f t="shared" si="0"/>
        <v>0</v>
      </c>
      <c r="P79" s="17">
        <f t="shared" si="1"/>
        <v>0</v>
      </c>
      <c r="Q79" s="17"/>
      <c r="R79" s="17">
        <f t="shared" si="2"/>
        <v>0</v>
      </c>
    </row>
    <row r="80" spans="1:18" ht="12.75" customHeight="1">
      <c r="A80" s="15"/>
      <c r="B80" s="15"/>
      <c r="C80" s="15"/>
      <c r="D80" s="15"/>
      <c r="E80" s="41" t="s">
        <v>78</v>
      </c>
      <c r="F80" s="41" t="s">
        <v>209</v>
      </c>
      <c r="G80" s="16">
        <v>88888</v>
      </c>
      <c r="H80" s="17">
        <f>18863130-H81-H82</f>
        <v>6348946</v>
      </c>
      <c r="I80" s="17">
        <f>2199152.86-I81-I83-I84</f>
        <v>966662.8599999999</v>
      </c>
      <c r="J80" s="17">
        <f t="shared" si="4"/>
        <v>5382283.140000001</v>
      </c>
      <c r="K80" s="17">
        <f>J80+J83+J84</f>
        <v>5268493.140000001</v>
      </c>
      <c r="L80" s="17"/>
      <c r="M80" s="17"/>
      <c r="N80" s="17">
        <f t="shared" si="3"/>
        <v>5268493.140000001</v>
      </c>
      <c r="O80" s="17">
        <f t="shared" si="0"/>
        <v>5268493.140000001</v>
      </c>
      <c r="P80" s="17">
        <f t="shared" si="1"/>
        <v>0</v>
      </c>
      <c r="Q80" s="17"/>
      <c r="R80" s="17">
        <f t="shared" si="2"/>
        <v>5268493.140000001</v>
      </c>
    </row>
    <row r="81" spans="1:18" ht="12.75" customHeight="1">
      <c r="A81" s="15"/>
      <c r="B81" s="15"/>
      <c r="C81" s="15"/>
      <c r="D81" s="15"/>
      <c r="E81" s="41" t="s">
        <v>78</v>
      </c>
      <c r="F81" s="41" t="s">
        <v>209</v>
      </c>
      <c r="G81" s="16">
        <v>33381</v>
      </c>
      <c r="H81" s="17">
        <v>11894184</v>
      </c>
      <c r="I81" s="17">
        <v>1118700</v>
      </c>
      <c r="J81" s="17">
        <f t="shared" si="4"/>
        <v>10775484</v>
      </c>
      <c r="K81" s="17">
        <f t="shared" si="6"/>
        <v>10775484</v>
      </c>
      <c r="L81" s="17"/>
      <c r="M81" s="17"/>
      <c r="N81" s="17">
        <f>SUM(K81:M81)</f>
        <v>10775484</v>
      </c>
      <c r="O81" s="17">
        <f t="shared" si="0"/>
        <v>0</v>
      </c>
      <c r="P81" s="17">
        <f t="shared" si="1"/>
        <v>10775484</v>
      </c>
      <c r="Q81" s="17"/>
      <c r="R81" s="17">
        <f t="shared" si="2"/>
        <v>10775484</v>
      </c>
    </row>
    <row r="82" spans="1:18" ht="12.75" customHeight="1">
      <c r="A82" s="15"/>
      <c r="B82" s="15"/>
      <c r="C82" s="15"/>
      <c r="D82" s="15"/>
      <c r="E82" s="41" t="s">
        <v>78</v>
      </c>
      <c r="F82" s="41" t="s">
        <v>209</v>
      </c>
      <c r="G82" s="16">
        <v>36900</v>
      </c>
      <c r="H82" s="17">
        <v>620000</v>
      </c>
      <c r="I82" s="17">
        <v>0</v>
      </c>
      <c r="J82" s="17">
        <f t="shared" si="4"/>
        <v>620000</v>
      </c>
      <c r="K82" s="17">
        <f t="shared" si="6"/>
        <v>620000</v>
      </c>
      <c r="L82" s="17"/>
      <c r="M82" s="17"/>
      <c r="N82" s="17">
        <f>SUM(K82:M82)</f>
        <v>620000</v>
      </c>
      <c r="O82" s="17">
        <f t="shared" si="0"/>
        <v>0</v>
      </c>
      <c r="P82" s="17">
        <f t="shared" si="1"/>
        <v>0</v>
      </c>
      <c r="Q82" s="17">
        <f>K82</f>
        <v>620000</v>
      </c>
      <c r="R82" s="17">
        <f t="shared" si="2"/>
        <v>620000</v>
      </c>
    </row>
    <row r="83" spans="1:18" ht="12.75" customHeight="1">
      <c r="A83" s="15"/>
      <c r="B83" s="15"/>
      <c r="C83" s="15"/>
      <c r="D83" s="15"/>
      <c r="E83" s="41" t="s">
        <v>78</v>
      </c>
      <c r="F83" s="41" t="s">
        <v>209</v>
      </c>
      <c r="G83" s="16">
        <v>36999</v>
      </c>
      <c r="H83" s="17">
        <v>0</v>
      </c>
      <c r="I83" s="17">
        <v>104060</v>
      </c>
      <c r="J83" s="17">
        <f t="shared" si="4"/>
        <v>-104060</v>
      </c>
      <c r="K83" s="17"/>
      <c r="L83" s="17"/>
      <c r="M83" s="17"/>
      <c r="N83" s="17">
        <f>SUM(K83:M83)</f>
        <v>0</v>
      </c>
      <c r="O83" s="17">
        <f t="shared" si="0"/>
        <v>0</v>
      </c>
      <c r="P83" s="17">
        <f t="shared" si="1"/>
        <v>0</v>
      </c>
      <c r="Q83" s="17">
        <f>K83</f>
        <v>0</v>
      </c>
      <c r="R83" s="17">
        <f t="shared" si="2"/>
        <v>0</v>
      </c>
    </row>
    <row r="84" spans="1:18" ht="12.75" customHeight="1">
      <c r="A84" s="15"/>
      <c r="B84" s="15"/>
      <c r="C84" s="15"/>
      <c r="D84" s="15"/>
      <c r="E84" s="41" t="s">
        <v>78</v>
      </c>
      <c r="F84" s="41" t="s">
        <v>209</v>
      </c>
      <c r="G84" s="16">
        <v>44490</v>
      </c>
      <c r="H84" s="17">
        <v>0</v>
      </c>
      <c r="I84" s="17">
        <v>9730</v>
      </c>
      <c r="J84" s="17">
        <f t="shared" si="4"/>
        <v>-9730</v>
      </c>
      <c r="K84" s="17"/>
      <c r="L84" s="17"/>
      <c r="M84" s="17"/>
      <c r="N84" s="17">
        <f>SUM(K84:M84)</f>
        <v>0</v>
      </c>
      <c r="O84" s="17">
        <f t="shared" si="0"/>
        <v>0</v>
      </c>
      <c r="P84" s="17">
        <f t="shared" si="1"/>
        <v>0</v>
      </c>
      <c r="Q84" s="17">
        <f>K84</f>
        <v>0</v>
      </c>
      <c r="R84" s="17">
        <f t="shared" si="2"/>
        <v>0</v>
      </c>
    </row>
    <row r="85" spans="1:18" ht="12.75" customHeight="1">
      <c r="A85" s="15"/>
      <c r="B85" s="15"/>
      <c r="C85" s="15"/>
      <c r="D85" s="15"/>
      <c r="E85" s="41" t="s">
        <v>79</v>
      </c>
      <c r="F85" s="41" t="s">
        <v>210</v>
      </c>
      <c r="G85" s="16">
        <v>88888</v>
      </c>
      <c r="H85" s="17">
        <v>2875</v>
      </c>
      <c r="I85" s="17">
        <v>2230.43</v>
      </c>
      <c r="J85" s="17">
        <f t="shared" si="4"/>
        <v>644.5700000000002</v>
      </c>
      <c r="K85" s="17">
        <f t="shared" si="6"/>
        <v>644.5700000000002</v>
      </c>
      <c r="L85" s="17"/>
      <c r="M85" s="17"/>
      <c r="N85" s="17">
        <f t="shared" si="3"/>
        <v>644.5700000000002</v>
      </c>
      <c r="O85" s="17">
        <f t="shared" si="0"/>
        <v>644.5700000000002</v>
      </c>
      <c r="P85" s="17">
        <f t="shared" si="1"/>
        <v>0</v>
      </c>
      <c r="Q85" s="17"/>
      <c r="R85" s="17">
        <f t="shared" si="2"/>
        <v>644.5700000000002</v>
      </c>
    </row>
    <row r="86" spans="1:18" ht="12.75" customHeight="1">
      <c r="A86" s="15"/>
      <c r="B86" s="15"/>
      <c r="C86" s="15"/>
      <c r="D86" s="15"/>
      <c r="E86" s="41" t="s">
        <v>80</v>
      </c>
      <c r="F86" s="41" t="s">
        <v>211</v>
      </c>
      <c r="G86" s="16">
        <v>88888</v>
      </c>
      <c r="H86" s="17">
        <v>0</v>
      </c>
      <c r="I86" s="17">
        <v>0</v>
      </c>
      <c r="J86" s="17">
        <f t="shared" si="4"/>
        <v>0</v>
      </c>
      <c r="K86" s="17">
        <f t="shared" si="6"/>
        <v>0</v>
      </c>
      <c r="L86" s="17"/>
      <c r="M86" s="17"/>
      <c r="N86" s="17">
        <f t="shared" si="3"/>
        <v>0</v>
      </c>
      <c r="O86" s="17">
        <f t="shared" si="0"/>
        <v>0</v>
      </c>
      <c r="P86" s="17">
        <f t="shared" si="1"/>
        <v>0</v>
      </c>
      <c r="Q86" s="17"/>
      <c r="R86" s="17">
        <f t="shared" si="2"/>
        <v>0</v>
      </c>
    </row>
    <row r="87" spans="1:18" ht="12.75" customHeight="1">
      <c r="A87" s="15"/>
      <c r="B87" s="15"/>
      <c r="C87" s="15"/>
      <c r="D87" s="15"/>
      <c r="E87" s="41" t="s">
        <v>81</v>
      </c>
      <c r="F87" s="41" t="s">
        <v>212</v>
      </c>
      <c r="G87" s="16">
        <v>88888</v>
      </c>
      <c r="H87" s="17">
        <v>353690</v>
      </c>
      <c r="I87" s="17">
        <v>143789.84</v>
      </c>
      <c r="J87" s="17">
        <f t="shared" si="4"/>
        <v>209900.16</v>
      </c>
      <c r="K87" s="17">
        <f t="shared" si="6"/>
        <v>209900.16</v>
      </c>
      <c r="L87" s="17"/>
      <c r="M87" s="17"/>
      <c r="N87" s="17">
        <f t="shared" si="3"/>
        <v>209900.16</v>
      </c>
      <c r="O87" s="17">
        <f t="shared" si="0"/>
        <v>209900.16</v>
      </c>
      <c r="P87" s="17">
        <f t="shared" si="1"/>
        <v>0</v>
      </c>
      <c r="Q87" s="17"/>
      <c r="R87" s="17">
        <f t="shared" si="2"/>
        <v>209900.16</v>
      </c>
    </row>
    <row r="88" spans="1:18" ht="12.75" customHeight="1">
      <c r="A88" s="15"/>
      <c r="B88" s="15"/>
      <c r="C88" s="15"/>
      <c r="D88" s="15"/>
      <c r="E88" s="41" t="s">
        <v>82</v>
      </c>
      <c r="F88" s="41" t="s">
        <v>213</v>
      </c>
      <c r="G88" s="16">
        <v>88888</v>
      </c>
      <c r="H88" s="17">
        <v>0</v>
      </c>
      <c r="I88" s="17">
        <v>0</v>
      </c>
      <c r="J88" s="17">
        <f t="shared" si="4"/>
        <v>0</v>
      </c>
      <c r="K88" s="17">
        <f t="shared" si="6"/>
        <v>0</v>
      </c>
      <c r="L88" s="17"/>
      <c r="M88" s="17"/>
      <c r="N88" s="17">
        <f t="shared" si="3"/>
        <v>0</v>
      </c>
      <c r="O88" s="17">
        <f t="shared" si="0"/>
        <v>0</v>
      </c>
      <c r="P88" s="17">
        <f t="shared" si="1"/>
        <v>0</v>
      </c>
      <c r="Q88" s="17"/>
      <c r="R88" s="17">
        <f t="shared" si="2"/>
        <v>0</v>
      </c>
    </row>
    <row r="89" spans="1:18" ht="12.75" customHeight="1">
      <c r="A89" s="15"/>
      <c r="B89" s="15"/>
      <c r="C89" s="15"/>
      <c r="D89" s="15"/>
      <c r="E89" s="41" t="s">
        <v>83</v>
      </c>
      <c r="F89" s="41" t="s">
        <v>214</v>
      </c>
      <c r="G89" s="16">
        <v>88888</v>
      </c>
      <c r="H89" s="17">
        <v>134566</v>
      </c>
      <c r="I89" s="17">
        <v>0</v>
      </c>
      <c r="J89" s="17">
        <f t="shared" si="4"/>
        <v>134566</v>
      </c>
      <c r="K89" s="17">
        <f t="shared" si="6"/>
        <v>134566</v>
      </c>
      <c r="L89" s="17"/>
      <c r="M89" s="17"/>
      <c r="N89" s="17">
        <f t="shared" si="3"/>
        <v>134566</v>
      </c>
      <c r="O89" s="17">
        <f t="shared" si="0"/>
        <v>134566</v>
      </c>
      <c r="P89" s="17">
        <f t="shared" si="1"/>
        <v>0</v>
      </c>
      <c r="Q89" s="17"/>
      <c r="R89" s="17">
        <f t="shared" si="2"/>
        <v>134566</v>
      </c>
    </row>
    <row r="90" spans="1:18" ht="12.75" customHeight="1">
      <c r="A90" s="15"/>
      <c r="B90" s="15"/>
      <c r="C90" s="15"/>
      <c r="D90" s="15"/>
      <c r="E90" s="41" t="s">
        <v>84</v>
      </c>
      <c r="F90" s="41" t="s">
        <v>131</v>
      </c>
      <c r="G90" s="16">
        <v>88888</v>
      </c>
      <c r="H90" s="17">
        <v>256343</v>
      </c>
      <c r="I90" s="17">
        <v>81110.2</v>
      </c>
      <c r="J90" s="17">
        <f t="shared" si="4"/>
        <v>175232.8</v>
      </c>
      <c r="K90" s="17">
        <f t="shared" si="6"/>
        <v>175232.8</v>
      </c>
      <c r="L90" s="17"/>
      <c r="M90" s="17"/>
      <c r="N90" s="17">
        <f t="shared" si="3"/>
        <v>175232.8</v>
      </c>
      <c r="O90" s="17">
        <f t="shared" si="0"/>
        <v>175232.8</v>
      </c>
      <c r="P90" s="17">
        <f t="shared" si="1"/>
        <v>0</v>
      </c>
      <c r="Q90" s="17"/>
      <c r="R90" s="17">
        <f t="shared" si="2"/>
        <v>175232.8</v>
      </c>
    </row>
    <row r="91" spans="1:18" ht="12.75" customHeight="1">
      <c r="A91" s="15"/>
      <c r="B91" s="15"/>
      <c r="C91" s="15"/>
      <c r="D91" s="15"/>
      <c r="E91" s="41" t="s">
        <v>85</v>
      </c>
      <c r="F91" s="41" t="s">
        <v>224</v>
      </c>
      <c r="G91" s="16">
        <v>88888</v>
      </c>
      <c r="H91" s="17">
        <v>6887348</v>
      </c>
      <c r="I91" s="17">
        <f>4987500.12-I92</f>
        <v>553036.1200000001</v>
      </c>
      <c r="J91" s="17">
        <f t="shared" si="4"/>
        <v>6334311.88</v>
      </c>
      <c r="K91" s="17">
        <f>J91+J92</f>
        <v>1899847.88</v>
      </c>
      <c r="L91" s="17"/>
      <c r="M91" s="17"/>
      <c r="N91" s="17">
        <f t="shared" si="3"/>
        <v>1899847.88</v>
      </c>
      <c r="O91" s="17">
        <f t="shared" si="0"/>
        <v>1899847.88</v>
      </c>
      <c r="P91" s="17">
        <f t="shared" si="1"/>
        <v>0</v>
      </c>
      <c r="Q91" s="17"/>
      <c r="R91" s="17">
        <f t="shared" si="2"/>
        <v>1899847.88</v>
      </c>
    </row>
    <row r="92" spans="1:18" ht="12.75" customHeight="1">
      <c r="A92" s="15"/>
      <c r="B92" s="15"/>
      <c r="C92" s="15"/>
      <c r="D92" s="15"/>
      <c r="E92" s="41" t="s">
        <v>85</v>
      </c>
      <c r="F92" s="41" t="s">
        <v>224</v>
      </c>
      <c r="G92" s="16">
        <v>33381</v>
      </c>
      <c r="H92" s="17">
        <v>0</v>
      </c>
      <c r="I92" s="17">
        <v>4434464</v>
      </c>
      <c r="J92" s="17">
        <f t="shared" si="4"/>
        <v>-4434464</v>
      </c>
      <c r="K92" s="17"/>
      <c r="L92" s="17"/>
      <c r="M92" s="17"/>
      <c r="N92" s="17">
        <f>SUM(K92:M92)</f>
        <v>0</v>
      </c>
      <c r="O92" s="17">
        <f>IF(G92=88888,N92,0)</f>
        <v>0</v>
      </c>
      <c r="P92" s="17">
        <f t="shared" si="1"/>
        <v>0</v>
      </c>
      <c r="Q92" s="17"/>
      <c r="R92" s="17">
        <f t="shared" si="2"/>
        <v>0</v>
      </c>
    </row>
    <row r="93" spans="1:18" ht="12.75" customHeight="1">
      <c r="A93" s="15"/>
      <c r="B93" s="15"/>
      <c r="C93" s="15"/>
      <c r="D93" s="15"/>
      <c r="E93" s="41" t="s">
        <v>86</v>
      </c>
      <c r="F93" s="41" t="s">
        <v>150</v>
      </c>
      <c r="G93" s="16">
        <v>88888</v>
      </c>
      <c r="H93" s="17">
        <v>0</v>
      </c>
      <c r="I93" s="17">
        <v>0</v>
      </c>
      <c r="J93" s="17">
        <f t="shared" si="4"/>
        <v>0</v>
      </c>
      <c r="K93" s="17">
        <f t="shared" si="6"/>
        <v>0</v>
      </c>
      <c r="L93" s="17"/>
      <c r="M93" s="17"/>
      <c r="N93" s="17">
        <f t="shared" si="3"/>
        <v>0</v>
      </c>
      <c r="O93" s="17">
        <f t="shared" si="0"/>
        <v>0</v>
      </c>
      <c r="P93" s="17">
        <f t="shared" si="1"/>
        <v>0</v>
      </c>
      <c r="Q93" s="17"/>
      <c r="R93" s="17">
        <f t="shared" si="2"/>
        <v>0</v>
      </c>
    </row>
    <row r="94" spans="1:18" ht="12.75" customHeight="1">
      <c r="A94" s="15"/>
      <c r="B94" s="15"/>
      <c r="C94" s="15"/>
      <c r="D94" s="15"/>
      <c r="E94" s="41" t="s">
        <v>87</v>
      </c>
      <c r="F94" s="41" t="s">
        <v>197</v>
      </c>
      <c r="G94" s="16">
        <v>88888</v>
      </c>
      <c r="H94" s="17">
        <f>2112438-H95</f>
        <v>1740160</v>
      </c>
      <c r="I94" s="17">
        <f>188456.41-I95</f>
        <v>187021.41</v>
      </c>
      <c r="J94" s="17">
        <f t="shared" si="4"/>
        <v>1553138.59</v>
      </c>
      <c r="K94" s="17">
        <f t="shared" si="6"/>
        <v>1553138.59</v>
      </c>
      <c r="L94" s="17"/>
      <c r="M94" s="17"/>
      <c r="N94" s="17">
        <f t="shared" si="3"/>
        <v>1553138.59</v>
      </c>
      <c r="O94" s="17">
        <f t="shared" si="0"/>
        <v>1553138.59</v>
      </c>
      <c r="P94" s="17">
        <f t="shared" si="1"/>
        <v>0</v>
      </c>
      <c r="Q94" s="17"/>
      <c r="R94" s="17">
        <f t="shared" si="2"/>
        <v>1553138.59</v>
      </c>
    </row>
    <row r="95" spans="1:18" ht="12.75" customHeight="1">
      <c r="A95" s="15"/>
      <c r="B95" s="15"/>
      <c r="C95" s="15"/>
      <c r="D95" s="15"/>
      <c r="E95" s="41" t="s">
        <v>87</v>
      </c>
      <c r="F95" s="41" t="s">
        <v>197</v>
      </c>
      <c r="G95" s="16">
        <v>33381</v>
      </c>
      <c r="H95" s="17">
        <v>372278</v>
      </c>
      <c r="I95" s="17">
        <v>1435</v>
      </c>
      <c r="J95" s="17">
        <f t="shared" si="4"/>
        <v>370843</v>
      </c>
      <c r="K95" s="17">
        <f t="shared" si="6"/>
        <v>370843</v>
      </c>
      <c r="L95" s="17"/>
      <c r="M95" s="17"/>
      <c r="N95" s="17">
        <f t="shared" si="3"/>
        <v>370843</v>
      </c>
      <c r="O95" s="17">
        <f t="shared" si="0"/>
        <v>0</v>
      </c>
      <c r="P95" s="17">
        <f t="shared" si="1"/>
        <v>370843</v>
      </c>
      <c r="Q95" s="17"/>
      <c r="R95" s="17">
        <f t="shared" si="2"/>
        <v>370843</v>
      </c>
    </row>
    <row r="96" spans="1:18" ht="12.75" customHeight="1">
      <c r="A96" s="15"/>
      <c r="B96" s="15"/>
      <c r="C96" s="15"/>
      <c r="D96" s="15"/>
      <c r="E96" s="41" t="s">
        <v>88</v>
      </c>
      <c r="F96" s="41" t="s">
        <v>198</v>
      </c>
      <c r="G96" s="16">
        <v>88888</v>
      </c>
      <c r="H96" s="17">
        <f>1081431-H97</f>
        <v>980508</v>
      </c>
      <c r="I96" s="17">
        <f>712138.6-I97</f>
        <v>553552.6</v>
      </c>
      <c r="J96" s="17">
        <f t="shared" si="4"/>
        <v>426955.4</v>
      </c>
      <c r="K96" s="17">
        <f>J96+J97</f>
        <v>369292.4</v>
      </c>
      <c r="L96" s="17"/>
      <c r="M96" s="17"/>
      <c r="N96" s="17">
        <f t="shared" si="3"/>
        <v>369292.4</v>
      </c>
      <c r="O96" s="17">
        <f t="shared" si="0"/>
        <v>369292.4</v>
      </c>
      <c r="P96" s="17">
        <f t="shared" si="1"/>
        <v>0</v>
      </c>
      <c r="Q96" s="17"/>
      <c r="R96" s="17">
        <f t="shared" si="2"/>
        <v>369292.4</v>
      </c>
    </row>
    <row r="97" spans="1:18" ht="12.75" customHeight="1">
      <c r="A97" s="15"/>
      <c r="B97" s="15"/>
      <c r="C97" s="15"/>
      <c r="D97" s="15"/>
      <c r="E97" s="41" t="s">
        <v>88</v>
      </c>
      <c r="F97" s="41" t="s">
        <v>198</v>
      </c>
      <c r="G97" s="16">
        <v>33381</v>
      </c>
      <c r="H97" s="17">
        <v>100923</v>
      </c>
      <c r="I97" s="17">
        <v>158586</v>
      </c>
      <c r="J97" s="17">
        <f>H97-I97</f>
        <v>-57663</v>
      </c>
      <c r="K97" s="17"/>
      <c r="L97" s="17"/>
      <c r="M97" s="17"/>
      <c r="N97" s="17">
        <f>SUM(K97:M97)</f>
        <v>0</v>
      </c>
      <c r="O97" s="17">
        <f>IF(G97=88888,N97,0)</f>
        <v>0</v>
      </c>
      <c r="P97" s="17">
        <f t="shared" si="1"/>
        <v>0</v>
      </c>
      <c r="Q97" s="17"/>
      <c r="R97" s="17">
        <f t="shared" si="2"/>
        <v>0</v>
      </c>
    </row>
    <row r="98" spans="1:18" ht="12.75" customHeight="1">
      <c r="A98" s="15"/>
      <c r="B98" s="15"/>
      <c r="C98" s="15"/>
      <c r="D98" s="15"/>
      <c r="E98" s="41" t="s">
        <v>89</v>
      </c>
      <c r="F98" s="41" t="s">
        <v>199</v>
      </c>
      <c r="G98" s="16">
        <v>88888</v>
      </c>
      <c r="H98" s="17">
        <f>1532358-H99</f>
        <v>1412517</v>
      </c>
      <c r="I98" s="17">
        <f>398520.65-I99</f>
        <v>262088.65000000002</v>
      </c>
      <c r="J98" s="17">
        <f t="shared" si="4"/>
        <v>1150428.35</v>
      </c>
      <c r="K98" s="17">
        <f>J98+J99</f>
        <v>1133837.35</v>
      </c>
      <c r="L98" s="17"/>
      <c r="M98" s="17"/>
      <c r="N98" s="17">
        <f t="shared" si="3"/>
        <v>1133837.35</v>
      </c>
      <c r="O98" s="17">
        <f t="shared" si="0"/>
        <v>1133837.35</v>
      </c>
      <c r="P98" s="17">
        <f t="shared" si="1"/>
        <v>0</v>
      </c>
      <c r="Q98" s="17"/>
      <c r="R98" s="17">
        <f t="shared" si="2"/>
        <v>1133837.35</v>
      </c>
    </row>
    <row r="99" spans="1:18" ht="12.75" customHeight="1">
      <c r="A99" s="15"/>
      <c r="B99" s="15"/>
      <c r="C99" s="15"/>
      <c r="D99" s="15"/>
      <c r="E99" s="41" t="s">
        <v>89</v>
      </c>
      <c r="F99" s="41" t="s">
        <v>199</v>
      </c>
      <c r="G99" s="16">
        <v>33381</v>
      </c>
      <c r="H99" s="17">
        <v>119841</v>
      </c>
      <c r="I99" s="17">
        <v>136432</v>
      </c>
      <c r="J99" s="17">
        <f>H99-I99</f>
        <v>-16591</v>
      </c>
      <c r="K99" s="17"/>
      <c r="L99" s="17"/>
      <c r="M99" s="17"/>
      <c r="N99" s="17">
        <f>SUM(K99:M99)</f>
        <v>0</v>
      </c>
      <c r="O99" s="17">
        <f>IF(G99=88888,N99,0)</f>
        <v>0</v>
      </c>
      <c r="P99" s="17">
        <f t="shared" si="1"/>
        <v>0</v>
      </c>
      <c r="Q99" s="17"/>
      <c r="R99" s="17">
        <f t="shared" si="2"/>
        <v>0</v>
      </c>
    </row>
    <row r="100" spans="1:18" ht="12.75" customHeight="1">
      <c r="A100" s="15"/>
      <c r="B100" s="15"/>
      <c r="C100" s="15"/>
      <c r="D100" s="15"/>
      <c r="E100" s="41" t="s">
        <v>90</v>
      </c>
      <c r="F100" s="41" t="s">
        <v>200</v>
      </c>
      <c r="G100" s="16">
        <v>88888</v>
      </c>
      <c r="H100" s="17">
        <v>1148373</v>
      </c>
      <c r="I100" s="17">
        <f>106838.52-I101</f>
        <v>63671.520000000004</v>
      </c>
      <c r="J100" s="17">
        <f t="shared" si="4"/>
        <v>1084701.48</v>
      </c>
      <c r="K100" s="17">
        <f>J100+J101</f>
        <v>1041534.48</v>
      </c>
      <c r="L100" s="17"/>
      <c r="M100" s="17"/>
      <c r="N100" s="17">
        <f t="shared" si="3"/>
        <v>1041534.48</v>
      </c>
      <c r="O100" s="17">
        <f t="shared" si="0"/>
        <v>1041534.48</v>
      </c>
      <c r="P100" s="17">
        <f t="shared" si="1"/>
        <v>0</v>
      </c>
      <c r="Q100" s="17"/>
      <c r="R100" s="17">
        <f t="shared" si="2"/>
        <v>1041534.48</v>
      </c>
    </row>
    <row r="101" spans="1:18" ht="12.75" customHeight="1">
      <c r="A101" s="15"/>
      <c r="B101" s="15"/>
      <c r="C101" s="15"/>
      <c r="D101" s="15"/>
      <c r="E101" s="41" t="s">
        <v>90</v>
      </c>
      <c r="F101" s="41" t="s">
        <v>200</v>
      </c>
      <c r="G101" s="16">
        <v>33381</v>
      </c>
      <c r="H101" s="17">
        <v>0</v>
      </c>
      <c r="I101" s="17">
        <v>43167</v>
      </c>
      <c r="J101" s="17">
        <f>H101-I101</f>
        <v>-43167</v>
      </c>
      <c r="K101" s="17"/>
      <c r="L101" s="17"/>
      <c r="M101" s="17"/>
      <c r="N101" s="17">
        <f>SUM(K101:M101)</f>
        <v>0</v>
      </c>
      <c r="O101" s="17">
        <f>IF(G101=88888,N101,0)</f>
        <v>0</v>
      </c>
      <c r="P101" s="17">
        <f t="shared" si="1"/>
        <v>0</v>
      </c>
      <c r="Q101" s="17"/>
      <c r="R101" s="17">
        <f t="shared" si="2"/>
        <v>0</v>
      </c>
    </row>
    <row r="102" spans="1:18" ht="12.75" customHeight="1">
      <c r="A102" s="15"/>
      <c r="B102" s="15"/>
      <c r="C102" s="15"/>
      <c r="D102" s="15"/>
      <c r="E102" s="41" t="s">
        <v>91</v>
      </c>
      <c r="F102" s="41" t="s">
        <v>188</v>
      </c>
      <c r="G102" s="16">
        <v>88888</v>
      </c>
      <c r="H102" s="17">
        <f>712398-H103</f>
        <v>593656</v>
      </c>
      <c r="I102" s="17">
        <f>72989.98-I104</f>
        <v>-0.020000000004074536</v>
      </c>
      <c r="J102" s="17">
        <f aca="true" t="shared" si="7" ref="J102:J168">H102-I102</f>
        <v>593656.02</v>
      </c>
      <c r="K102" s="17">
        <f>J102+J104</f>
        <v>520666.02</v>
      </c>
      <c r="L102" s="17"/>
      <c r="M102" s="17"/>
      <c r="N102" s="17">
        <f t="shared" si="3"/>
        <v>520666.02</v>
      </c>
      <c r="O102" s="17">
        <f aca="true" t="shared" si="8" ref="O102:O168">IF(G102=88888,N102,0)</f>
        <v>520666.02</v>
      </c>
      <c r="P102" s="17">
        <f aca="true" t="shared" si="9" ref="P102:P168">IF(G102=33381,N102,0)</f>
        <v>0</v>
      </c>
      <c r="Q102" s="17"/>
      <c r="R102" s="17">
        <f aca="true" t="shared" si="10" ref="R102:R168">SUM(O102:Q102)</f>
        <v>520666.02</v>
      </c>
    </row>
    <row r="103" spans="1:18" ht="12.75" customHeight="1">
      <c r="A103" s="15"/>
      <c r="B103" s="15"/>
      <c r="C103" s="15"/>
      <c r="D103" s="15"/>
      <c r="E103" s="41" t="s">
        <v>91</v>
      </c>
      <c r="F103" s="41" t="s">
        <v>188</v>
      </c>
      <c r="G103" s="16">
        <v>33000</v>
      </c>
      <c r="H103" s="17">
        <v>118742</v>
      </c>
      <c r="I103" s="17">
        <v>0</v>
      </c>
      <c r="J103" s="17">
        <f>H103-I103</f>
        <v>118742</v>
      </c>
      <c r="K103" s="17">
        <f t="shared" si="6"/>
        <v>118742</v>
      </c>
      <c r="L103" s="17"/>
      <c r="M103" s="17"/>
      <c r="N103" s="17">
        <f>SUM(K103:M103)</f>
        <v>118742</v>
      </c>
      <c r="O103" s="17">
        <f>IF(G103=88888,N103,0)</f>
        <v>0</v>
      </c>
      <c r="P103" s="17">
        <f t="shared" si="9"/>
        <v>0</v>
      </c>
      <c r="Q103" s="17">
        <v>118742</v>
      </c>
      <c r="R103" s="17">
        <f t="shared" si="10"/>
        <v>118742</v>
      </c>
    </row>
    <row r="104" spans="1:18" ht="12.75" customHeight="1">
      <c r="A104" s="15"/>
      <c r="B104" s="15"/>
      <c r="C104" s="15"/>
      <c r="D104" s="15"/>
      <c r="E104" s="41" t="s">
        <v>91</v>
      </c>
      <c r="F104" s="41" t="s">
        <v>188</v>
      </c>
      <c r="G104" s="16">
        <v>33381</v>
      </c>
      <c r="H104" s="17">
        <v>0</v>
      </c>
      <c r="I104" s="17">
        <v>72990</v>
      </c>
      <c r="J104" s="17">
        <f>H104-I104</f>
        <v>-72990</v>
      </c>
      <c r="K104" s="17"/>
      <c r="L104" s="17"/>
      <c r="M104" s="17"/>
      <c r="N104" s="17">
        <f>SUM(K104:M104)</f>
        <v>0</v>
      </c>
      <c r="O104" s="17">
        <f>IF(G104=88888,N104,0)</f>
        <v>0</v>
      </c>
      <c r="P104" s="17">
        <f>IF(G104=33381,N104,0)</f>
        <v>0</v>
      </c>
      <c r="Q104" s="17"/>
      <c r="R104" s="17">
        <f t="shared" si="10"/>
        <v>0</v>
      </c>
    </row>
    <row r="105" spans="1:18" ht="12.75" customHeight="1">
      <c r="A105" s="15"/>
      <c r="B105" s="15"/>
      <c r="C105" s="15"/>
      <c r="D105" s="15"/>
      <c r="E105" s="41" t="s">
        <v>92</v>
      </c>
      <c r="F105" s="41" t="s">
        <v>136</v>
      </c>
      <c r="G105" s="16">
        <v>88888</v>
      </c>
      <c r="H105" s="17">
        <v>0</v>
      </c>
      <c r="I105" s="17">
        <v>0</v>
      </c>
      <c r="J105" s="17">
        <f t="shared" si="7"/>
        <v>0</v>
      </c>
      <c r="K105" s="17">
        <f t="shared" si="6"/>
        <v>0</v>
      </c>
      <c r="L105" s="17"/>
      <c r="M105" s="17"/>
      <c r="N105" s="17">
        <f aca="true" t="shared" si="11" ref="N105:N168">SUM(K105:M105)</f>
        <v>0</v>
      </c>
      <c r="O105" s="17">
        <f t="shared" si="8"/>
        <v>0</v>
      </c>
      <c r="P105" s="17">
        <f t="shared" si="9"/>
        <v>0</v>
      </c>
      <c r="Q105" s="17"/>
      <c r="R105" s="17">
        <f t="shared" si="10"/>
        <v>0</v>
      </c>
    </row>
    <row r="106" spans="1:18" ht="12.75" customHeight="1">
      <c r="A106" s="15"/>
      <c r="B106" s="15"/>
      <c r="C106" s="15"/>
      <c r="D106" s="15"/>
      <c r="E106" s="41" t="s">
        <v>93</v>
      </c>
      <c r="F106" s="41" t="s">
        <v>180</v>
      </c>
      <c r="G106" s="16">
        <v>88888</v>
      </c>
      <c r="H106" s="17">
        <v>59109</v>
      </c>
      <c r="I106" s="17">
        <v>46813.29</v>
      </c>
      <c r="J106" s="17">
        <f t="shared" si="7"/>
        <v>12295.71</v>
      </c>
      <c r="K106" s="17">
        <f t="shared" si="6"/>
        <v>12295.71</v>
      </c>
      <c r="L106" s="17"/>
      <c r="M106" s="17"/>
      <c r="N106" s="17">
        <f t="shared" si="11"/>
        <v>12295.71</v>
      </c>
      <c r="O106" s="17">
        <f t="shared" si="8"/>
        <v>12295.71</v>
      </c>
      <c r="P106" s="17">
        <f t="shared" si="9"/>
        <v>0</v>
      </c>
      <c r="Q106" s="17"/>
      <c r="R106" s="17">
        <f t="shared" si="10"/>
        <v>12295.71</v>
      </c>
    </row>
    <row r="107" spans="1:18" ht="12.75" customHeight="1">
      <c r="A107" s="15"/>
      <c r="B107" s="15"/>
      <c r="C107" s="15"/>
      <c r="D107" s="15"/>
      <c r="E107" s="41" t="s">
        <v>94</v>
      </c>
      <c r="F107" s="41" t="s">
        <v>189</v>
      </c>
      <c r="G107" s="16">
        <v>88888</v>
      </c>
      <c r="H107" s="17">
        <v>19158</v>
      </c>
      <c r="I107" s="17">
        <v>0</v>
      </c>
      <c r="J107" s="17">
        <f t="shared" si="7"/>
        <v>19158</v>
      </c>
      <c r="K107" s="17">
        <f t="shared" si="6"/>
        <v>19158</v>
      </c>
      <c r="L107" s="17"/>
      <c r="M107" s="17"/>
      <c r="N107" s="17">
        <f t="shared" si="11"/>
        <v>19158</v>
      </c>
      <c r="O107" s="17">
        <f t="shared" si="8"/>
        <v>19158</v>
      </c>
      <c r="P107" s="17">
        <f t="shared" si="9"/>
        <v>0</v>
      </c>
      <c r="Q107" s="17"/>
      <c r="R107" s="17">
        <f t="shared" si="10"/>
        <v>19158</v>
      </c>
    </row>
    <row r="108" spans="1:18" ht="12.75" customHeight="1">
      <c r="A108" s="15"/>
      <c r="B108" s="15"/>
      <c r="C108" s="15"/>
      <c r="D108" s="15"/>
      <c r="E108" s="41" t="s">
        <v>95</v>
      </c>
      <c r="F108" s="41" t="s">
        <v>225</v>
      </c>
      <c r="G108" s="16">
        <v>88888</v>
      </c>
      <c r="H108" s="17">
        <v>522651</v>
      </c>
      <c r="I108" s="17">
        <v>36601.31</v>
      </c>
      <c r="J108" s="17">
        <f t="shared" si="7"/>
        <v>486049.69</v>
      </c>
      <c r="K108" s="17">
        <f t="shared" si="6"/>
        <v>486049.69</v>
      </c>
      <c r="L108" s="17"/>
      <c r="M108" s="17"/>
      <c r="N108" s="17">
        <f t="shared" si="11"/>
        <v>486049.69</v>
      </c>
      <c r="O108" s="17">
        <f t="shared" si="8"/>
        <v>486049.69</v>
      </c>
      <c r="P108" s="17">
        <f t="shared" si="9"/>
        <v>0</v>
      </c>
      <c r="Q108" s="17"/>
      <c r="R108" s="17">
        <f t="shared" si="10"/>
        <v>486049.69</v>
      </c>
    </row>
    <row r="109" spans="1:18" ht="12.75" customHeight="1">
      <c r="A109" s="15"/>
      <c r="B109" s="15"/>
      <c r="C109" s="15"/>
      <c r="D109" s="15"/>
      <c r="E109" s="41" t="s">
        <v>96</v>
      </c>
      <c r="F109" s="41" t="s">
        <v>181</v>
      </c>
      <c r="G109" s="16">
        <v>88888</v>
      </c>
      <c r="H109" s="17">
        <v>23461</v>
      </c>
      <c r="I109" s="17">
        <v>0</v>
      </c>
      <c r="J109" s="17">
        <f t="shared" si="7"/>
        <v>23461</v>
      </c>
      <c r="K109" s="17">
        <f aca="true" t="shared" si="12" ref="K109:K168">J109</f>
        <v>23461</v>
      </c>
      <c r="L109" s="17"/>
      <c r="M109" s="17"/>
      <c r="N109" s="17">
        <f t="shared" si="11"/>
        <v>23461</v>
      </c>
      <c r="O109" s="17">
        <f t="shared" si="8"/>
        <v>23461</v>
      </c>
      <c r="P109" s="17">
        <f t="shared" si="9"/>
        <v>0</v>
      </c>
      <c r="Q109" s="17"/>
      <c r="R109" s="17">
        <f t="shared" si="10"/>
        <v>23461</v>
      </c>
    </row>
    <row r="110" spans="1:18" ht="12.75" customHeight="1">
      <c r="A110" s="15"/>
      <c r="B110" s="15"/>
      <c r="C110" s="15"/>
      <c r="D110" s="15"/>
      <c r="E110" s="41" t="s">
        <v>97</v>
      </c>
      <c r="F110" s="41" t="s">
        <v>215</v>
      </c>
      <c r="G110" s="16">
        <v>88888</v>
      </c>
      <c r="H110" s="17">
        <v>0</v>
      </c>
      <c r="I110" s="17">
        <v>-851.06</v>
      </c>
      <c r="J110" s="17">
        <f t="shared" si="7"/>
        <v>851.06</v>
      </c>
      <c r="K110" s="17">
        <f t="shared" si="12"/>
        <v>851.06</v>
      </c>
      <c r="L110" s="17"/>
      <c r="M110" s="17"/>
      <c r="N110" s="17">
        <f t="shared" si="11"/>
        <v>851.06</v>
      </c>
      <c r="O110" s="17">
        <f t="shared" si="8"/>
        <v>851.06</v>
      </c>
      <c r="P110" s="17">
        <f t="shared" si="9"/>
        <v>0</v>
      </c>
      <c r="Q110" s="17"/>
      <c r="R110" s="17">
        <f t="shared" si="10"/>
        <v>851.06</v>
      </c>
    </row>
    <row r="111" spans="1:18" ht="12.75" customHeight="1">
      <c r="A111" s="15"/>
      <c r="B111" s="15"/>
      <c r="C111" s="15"/>
      <c r="D111" s="15"/>
      <c r="E111" s="41" t="s">
        <v>98</v>
      </c>
      <c r="F111" s="41" t="s">
        <v>216</v>
      </c>
      <c r="G111" s="16">
        <v>88888</v>
      </c>
      <c r="H111" s="17">
        <v>842614</v>
      </c>
      <c r="I111" s="17">
        <v>730295.18</v>
      </c>
      <c r="J111" s="17">
        <f t="shared" si="7"/>
        <v>112318.81999999995</v>
      </c>
      <c r="K111" s="17">
        <f t="shared" si="12"/>
        <v>112318.81999999995</v>
      </c>
      <c r="L111" s="17"/>
      <c r="M111" s="17"/>
      <c r="N111" s="17">
        <f t="shared" si="11"/>
        <v>112318.81999999995</v>
      </c>
      <c r="O111" s="17">
        <f t="shared" si="8"/>
        <v>112318.81999999995</v>
      </c>
      <c r="P111" s="17">
        <f t="shared" si="9"/>
        <v>0</v>
      </c>
      <c r="Q111" s="17"/>
      <c r="R111" s="17">
        <f t="shared" si="10"/>
        <v>112318.81999999995</v>
      </c>
    </row>
    <row r="112" spans="1:18" ht="12.75" customHeight="1">
      <c r="A112" s="15"/>
      <c r="B112" s="15"/>
      <c r="C112" s="15"/>
      <c r="D112" s="15"/>
      <c r="E112" s="41" t="s">
        <v>99</v>
      </c>
      <c r="F112" s="41" t="s">
        <v>166</v>
      </c>
      <c r="G112" s="16">
        <v>88888</v>
      </c>
      <c r="H112" s="17">
        <v>2304</v>
      </c>
      <c r="I112" s="17">
        <v>0</v>
      </c>
      <c r="J112" s="17">
        <f t="shared" si="7"/>
        <v>2304</v>
      </c>
      <c r="K112" s="17">
        <f t="shared" si="12"/>
        <v>2304</v>
      </c>
      <c r="L112" s="17"/>
      <c r="M112" s="17"/>
      <c r="N112" s="17">
        <f t="shared" si="11"/>
        <v>2304</v>
      </c>
      <c r="O112" s="17">
        <f t="shared" si="8"/>
        <v>2304</v>
      </c>
      <c r="P112" s="17">
        <f t="shared" si="9"/>
        <v>0</v>
      </c>
      <c r="Q112" s="17"/>
      <c r="R112" s="17">
        <f t="shared" si="10"/>
        <v>2304</v>
      </c>
    </row>
    <row r="113" spans="1:18" ht="12.75" customHeight="1">
      <c r="A113" s="15"/>
      <c r="B113" s="15"/>
      <c r="C113" s="15"/>
      <c r="D113" s="15"/>
      <c r="E113" s="41" t="s">
        <v>100</v>
      </c>
      <c r="F113" s="41" t="s">
        <v>217</v>
      </c>
      <c r="G113" s="16">
        <v>88888</v>
      </c>
      <c r="H113" s="17">
        <v>337426</v>
      </c>
      <c r="I113" s="17">
        <v>0</v>
      </c>
      <c r="J113" s="17">
        <f t="shared" si="7"/>
        <v>337426</v>
      </c>
      <c r="K113" s="17">
        <f t="shared" si="12"/>
        <v>337426</v>
      </c>
      <c r="L113" s="17"/>
      <c r="M113" s="17"/>
      <c r="N113" s="17">
        <f t="shared" si="11"/>
        <v>337426</v>
      </c>
      <c r="O113" s="17">
        <f t="shared" si="8"/>
        <v>337426</v>
      </c>
      <c r="P113" s="17">
        <f t="shared" si="9"/>
        <v>0</v>
      </c>
      <c r="Q113" s="17"/>
      <c r="R113" s="17">
        <f t="shared" si="10"/>
        <v>337426</v>
      </c>
    </row>
    <row r="114" spans="1:18" ht="12.75" customHeight="1">
      <c r="A114" s="15"/>
      <c r="B114" s="15"/>
      <c r="C114" s="15"/>
      <c r="D114" s="15"/>
      <c r="E114" s="41" t="s">
        <v>101</v>
      </c>
      <c r="F114" s="41" t="s">
        <v>151</v>
      </c>
      <c r="G114" s="16">
        <v>88888</v>
      </c>
      <c r="H114" s="17">
        <v>0</v>
      </c>
      <c r="I114" s="17">
        <v>0</v>
      </c>
      <c r="J114" s="17">
        <f t="shared" si="7"/>
        <v>0</v>
      </c>
      <c r="K114" s="17">
        <f t="shared" si="12"/>
        <v>0</v>
      </c>
      <c r="L114" s="17"/>
      <c r="M114" s="17"/>
      <c r="N114" s="17">
        <f t="shared" si="11"/>
        <v>0</v>
      </c>
      <c r="O114" s="17">
        <f t="shared" si="8"/>
        <v>0</v>
      </c>
      <c r="P114" s="17">
        <f t="shared" si="9"/>
        <v>0</v>
      </c>
      <c r="Q114" s="17"/>
      <c r="R114" s="17">
        <f t="shared" si="10"/>
        <v>0</v>
      </c>
    </row>
    <row r="115" spans="1:18" ht="12.75" customHeight="1">
      <c r="A115" s="15"/>
      <c r="B115" s="15"/>
      <c r="C115" s="15"/>
      <c r="D115" s="15"/>
      <c r="E115" s="41" t="s">
        <v>102</v>
      </c>
      <c r="F115" s="41" t="s">
        <v>152</v>
      </c>
      <c r="G115" s="16">
        <v>88888</v>
      </c>
      <c r="H115" s="17">
        <f>3951819-H116-H117</f>
        <v>3321819</v>
      </c>
      <c r="I115" s="17">
        <f>1552263.96-I116-I118</f>
        <v>1430582.96</v>
      </c>
      <c r="J115" s="17">
        <f t="shared" si="7"/>
        <v>1891236.04</v>
      </c>
      <c r="K115" s="17">
        <f>J115+J118</f>
        <v>1799555.04</v>
      </c>
      <c r="L115" s="17"/>
      <c r="M115" s="17"/>
      <c r="N115" s="17">
        <f t="shared" si="11"/>
        <v>1799555.04</v>
      </c>
      <c r="O115" s="17">
        <f t="shared" si="8"/>
        <v>1799555.04</v>
      </c>
      <c r="P115" s="17">
        <f t="shared" si="9"/>
        <v>0</v>
      </c>
      <c r="Q115" s="17"/>
      <c r="R115" s="17">
        <f t="shared" si="10"/>
        <v>1799555.04</v>
      </c>
    </row>
    <row r="116" spans="1:18" ht="12.75" customHeight="1">
      <c r="A116" s="15"/>
      <c r="B116" s="15"/>
      <c r="C116" s="15"/>
      <c r="D116" s="15"/>
      <c r="E116" s="41" t="s">
        <v>102</v>
      </c>
      <c r="F116" s="41" t="s">
        <v>152</v>
      </c>
      <c r="G116" s="16">
        <v>36900</v>
      </c>
      <c r="H116" s="17">
        <v>30000</v>
      </c>
      <c r="I116" s="17">
        <v>30000</v>
      </c>
      <c r="J116" s="17">
        <f>H116-I116</f>
        <v>0</v>
      </c>
      <c r="K116" s="17">
        <f t="shared" si="12"/>
        <v>0</v>
      </c>
      <c r="L116" s="17"/>
      <c r="M116" s="17"/>
      <c r="N116" s="17">
        <f>SUM(K116:M116)</f>
        <v>0</v>
      </c>
      <c r="O116" s="17">
        <f>IF(G116=88888,N116,0)</f>
        <v>0</v>
      </c>
      <c r="P116" s="17">
        <f t="shared" si="9"/>
        <v>0</v>
      </c>
      <c r="Q116" s="17"/>
      <c r="R116" s="17">
        <f t="shared" si="10"/>
        <v>0</v>
      </c>
    </row>
    <row r="117" spans="1:18" ht="12.75" customHeight="1">
      <c r="A117" s="15"/>
      <c r="B117" s="15"/>
      <c r="C117" s="15"/>
      <c r="D117" s="15"/>
      <c r="E117" s="41" t="s">
        <v>102</v>
      </c>
      <c r="F117" s="41" t="s">
        <v>152</v>
      </c>
      <c r="G117" s="16">
        <v>39512</v>
      </c>
      <c r="H117" s="17">
        <v>600000</v>
      </c>
      <c r="I117" s="17">
        <v>0</v>
      </c>
      <c r="J117" s="17">
        <f>H117-I117</f>
        <v>600000</v>
      </c>
      <c r="K117" s="17">
        <f t="shared" si="12"/>
        <v>600000</v>
      </c>
      <c r="L117" s="17"/>
      <c r="M117" s="17"/>
      <c r="N117" s="17">
        <f>SUM(K117:M117)</f>
        <v>600000</v>
      </c>
      <c r="O117" s="17">
        <f>IF(G117=88888,N117,0)</f>
        <v>0</v>
      </c>
      <c r="P117" s="17">
        <f>IF(G117=33381,N117,0)</f>
        <v>0</v>
      </c>
      <c r="Q117" s="17">
        <f>K117</f>
        <v>600000</v>
      </c>
      <c r="R117" s="17">
        <f t="shared" si="10"/>
        <v>600000</v>
      </c>
    </row>
    <row r="118" spans="1:18" ht="12.75" customHeight="1">
      <c r="A118" s="15"/>
      <c r="B118" s="15"/>
      <c r="C118" s="15"/>
      <c r="D118" s="15"/>
      <c r="E118" s="41" t="s">
        <v>102</v>
      </c>
      <c r="F118" s="41" t="s">
        <v>152</v>
      </c>
      <c r="G118" s="16">
        <v>33381</v>
      </c>
      <c r="H118" s="17">
        <v>0</v>
      </c>
      <c r="I118" s="17">
        <v>91681</v>
      </c>
      <c r="J118" s="17">
        <f>H118-I118</f>
        <v>-91681</v>
      </c>
      <c r="K118" s="17"/>
      <c r="L118" s="17"/>
      <c r="M118" s="17"/>
      <c r="N118" s="17">
        <f>SUM(K118:M118)</f>
        <v>0</v>
      </c>
      <c r="O118" s="17">
        <f>IF(G118=88888,N118,0)</f>
        <v>0</v>
      </c>
      <c r="P118" s="17">
        <f>IF(G118=33381,N118,0)</f>
        <v>0</v>
      </c>
      <c r="Q118" s="17"/>
      <c r="R118" s="17">
        <f t="shared" si="10"/>
        <v>0</v>
      </c>
    </row>
    <row r="119" spans="1:18" ht="12.75" customHeight="1">
      <c r="A119" s="15"/>
      <c r="B119" s="15"/>
      <c r="C119" s="15"/>
      <c r="D119" s="15"/>
      <c r="E119" s="41" t="s">
        <v>103</v>
      </c>
      <c r="F119" s="41" t="s">
        <v>153</v>
      </c>
      <c r="G119" s="16">
        <v>88888</v>
      </c>
      <c r="H119" s="17">
        <v>700000</v>
      </c>
      <c r="I119" s="17">
        <v>0</v>
      </c>
      <c r="J119" s="17">
        <f t="shared" si="7"/>
        <v>700000</v>
      </c>
      <c r="K119" s="17">
        <f t="shared" si="12"/>
        <v>700000</v>
      </c>
      <c r="L119" s="17"/>
      <c r="M119" s="17"/>
      <c r="N119" s="17">
        <f t="shared" si="11"/>
        <v>700000</v>
      </c>
      <c r="O119" s="17">
        <f t="shared" si="8"/>
        <v>700000</v>
      </c>
      <c r="P119" s="17">
        <f t="shared" si="9"/>
        <v>0</v>
      </c>
      <c r="Q119" s="17"/>
      <c r="R119" s="17">
        <f t="shared" si="10"/>
        <v>700000</v>
      </c>
    </row>
    <row r="120" spans="1:18" ht="12.75" customHeight="1">
      <c r="A120" s="15"/>
      <c r="B120" s="15"/>
      <c r="C120" s="15"/>
      <c r="D120" s="15"/>
      <c r="E120" s="41" t="s">
        <v>104</v>
      </c>
      <c r="F120" s="41" t="s">
        <v>190</v>
      </c>
      <c r="G120" s="16">
        <v>88888</v>
      </c>
      <c r="H120" s="17">
        <f>69340</f>
        <v>69340</v>
      </c>
      <c r="I120" s="17">
        <v>0</v>
      </c>
      <c r="J120" s="17">
        <f t="shared" si="7"/>
        <v>69340</v>
      </c>
      <c r="K120" s="17">
        <f t="shared" si="12"/>
        <v>69340</v>
      </c>
      <c r="L120" s="17"/>
      <c r="M120" s="17"/>
      <c r="N120" s="17">
        <f t="shared" si="11"/>
        <v>69340</v>
      </c>
      <c r="O120" s="17">
        <f t="shared" si="8"/>
        <v>69340</v>
      </c>
      <c r="P120" s="17">
        <f t="shared" si="9"/>
        <v>0</v>
      </c>
      <c r="Q120" s="17"/>
      <c r="R120" s="17">
        <f t="shared" si="10"/>
        <v>69340</v>
      </c>
    </row>
    <row r="121" spans="1:18" ht="12.75" customHeight="1">
      <c r="A121" s="15"/>
      <c r="B121" s="15"/>
      <c r="C121" s="15"/>
      <c r="D121" s="15"/>
      <c r="E121" s="41" t="s">
        <v>105</v>
      </c>
      <c r="F121" s="41" t="s">
        <v>154</v>
      </c>
      <c r="G121" s="16">
        <v>88888</v>
      </c>
      <c r="H121" s="17">
        <v>-144</v>
      </c>
      <c r="I121" s="17">
        <v>0</v>
      </c>
      <c r="J121" s="17">
        <f t="shared" si="7"/>
        <v>-144</v>
      </c>
      <c r="K121" s="17">
        <f>J121*0</f>
        <v>0</v>
      </c>
      <c r="L121" s="17"/>
      <c r="M121" s="17"/>
      <c r="N121" s="17">
        <f>SUM(K121:M121)*0</f>
        <v>0</v>
      </c>
      <c r="O121" s="17">
        <f t="shared" si="8"/>
        <v>0</v>
      </c>
      <c r="P121" s="17">
        <f t="shared" si="9"/>
        <v>0</v>
      </c>
      <c r="Q121" s="17"/>
      <c r="R121" s="17">
        <f t="shared" si="10"/>
        <v>0</v>
      </c>
    </row>
    <row r="122" spans="1:18" ht="12.75" customHeight="1">
      <c r="A122" s="15"/>
      <c r="B122" s="15"/>
      <c r="C122" s="15"/>
      <c r="D122" s="15"/>
      <c r="E122" s="41" t="s">
        <v>106</v>
      </c>
      <c r="F122" s="41" t="s">
        <v>155</v>
      </c>
      <c r="G122" s="16">
        <v>88888</v>
      </c>
      <c r="H122" s="17">
        <f>1748769</f>
        <v>1748769</v>
      </c>
      <c r="I122" s="17">
        <f>245950.94-I123</f>
        <v>241276.94</v>
      </c>
      <c r="J122" s="17">
        <f t="shared" si="7"/>
        <v>1507492.06</v>
      </c>
      <c r="K122" s="17">
        <f>J122+J123</f>
        <v>1502818.06</v>
      </c>
      <c r="L122" s="17"/>
      <c r="M122" s="17"/>
      <c r="N122" s="17">
        <f t="shared" si="11"/>
        <v>1502818.06</v>
      </c>
      <c r="O122" s="17">
        <f t="shared" si="8"/>
        <v>1502818.06</v>
      </c>
      <c r="P122" s="17">
        <f t="shared" si="9"/>
        <v>0</v>
      </c>
      <c r="Q122" s="17"/>
      <c r="R122" s="17">
        <f t="shared" si="10"/>
        <v>1502818.06</v>
      </c>
    </row>
    <row r="123" spans="1:18" ht="12.75" customHeight="1">
      <c r="A123" s="15"/>
      <c r="B123" s="15"/>
      <c r="C123" s="15"/>
      <c r="D123" s="15"/>
      <c r="E123" s="41" t="s">
        <v>106</v>
      </c>
      <c r="F123" s="41" t="s">
        <v>155</v>
      </c>
      <c r="G123" s="16">
        <v>33381</v>
      </c>
      <c r="H123" s="17">
        <v>0</v>
      </c>
      <c r="I123" s="17">
        <v>4674</v>
      </c>
      <c r="J123" s="17">
        <f>H123-I123</f>
        <v>-4674</v>
      </c>
      <c r="K123" s="17"/>
      <c r="L123" s="17"/>
      <c r="M123" s="17"/>
      <c r="N123" s="17">
        <f>SUM(K123:M123)</f>
        <v>0</v>
      </c>
      <c r="O123" s="17">
        <f>IF(G123=88888,N123,0)</f>
        <v>0</v>
      </c>
      <c r="P123" s="17">
        <f t="shared" si="9"/>
        <v>0</v>
      </c>
      <c r="Q123" s="17"/>
      <c r="R123" s="17">
        <f t="shared" si="10"/>
        <v>0</v>
      </c>
    </row>
    <row r="124" spans="1:18" ht="12.75" customHeight="1">
      <c r="A124" s="15"/>
      <c r="B124" s="15"/>
      <c r="C124" s="15"/>
      <c r="D124" s="15"/>
      <c r="E124" s="41" t="s">
        <v>107</v>
      </c>
      <c r="F124" s="41" t="s">
        <v>201</v>
      </c>
      <c r="G124" s="16">
        <v>88888</v>
      </c>
      <c r="H124" s="17">
        <v>277246</v>
      </c>
      <c r="I124" s="17">
        <f>24150.01-I125</f>
        <v>14710.009999999998</v>
      </c>
      <c r="J124" s="17">
        <f t="shared" si="7"/>
        <v>262535.99</v>
      </c>
      <c r="K124" s="17">
        <f>J124+J125</f>
        <v>253095.99</v>
      </c>
      <c r="L124" s="17"/>
      <c r="M124" s="17"/>
      <c r="N124" s="17">
        <f t="shared" si="11"/>
        <v>253095.99</v>
      </c>
      <c r="O124" s="17">
        <f t="shared" si="8"/>
        <v>253095.99</v>
      </c>
      <c r="P124" s="17">
        <f t="shared" si="9"/>
        <v>0</v>
      </c>
      <c r="Q124" s="17"/>
      <c r="R124" s="17">
        <f t="shared" si="10"/>
        <v>253095.99</v>
      </c>
    </row>
    <row r="125" spans="1:18" ht="12.75" customHeight="1">
      <c r="A125" s="15"/>
      <c r="B125" s="15"/>
      <c r="C125" s="15"/>
      <c r="D125" s="15"/>
      <c r="E125" s="41" t="s">
        <v>107</v>
      </c>
      <c r="F125" s="41" t="s">
        <v>201</v>
      </c>
      <c r="G125" s="16">
        <v>33381</v>
      </c>
      <c r="H125" s="17">
        <v>0</v>
      </c>
      <c r="I125" s="17">
        <v>9440</v>
      </c>
      <c r="J125" s="17">
        <f>H125-I125</f>
        <v>-9440</v>
      </c>
      <c r="K125" s="17"/>
      <c r="L125" s="17"/>
      <c r="M125" s="17"/>
      <c r="N125" s="17">
        <f>SUM(K125:M125)</f>
        <v>0</v>
      </c>
      <c r="O125" s="17">
        <f>IF(G125=88888,N125,0)</f>
        <v>0</v>
      </c>
      <c r="P125" s="17">
        <f>IF(G125=33381,N125,0)</f>
        <v>0</v>
      </c>
      <c r="Q125" s="17"/>
      <c r="R125" s="17">
        <f t="shared" si="10"/>
        <v>0</v>
      </c>
    </row>
    <row r="126" spans="1:18" ht="12.75" customHeight="1">
      <c r="A126" s="15"/>
      <c r="B126" s="15"/>
      <c r="C126" s="15"/>
      <c r="D126" s="15"/>
      <c r="E126" s="41" t="s">
        <v>108</v>
      </c>
      <c r="F126" s="41" t="s">
        <v>182</v>
      </c>
      <c r="G126" s="16">
        <v>88888</v>
      </c>
      <c r="H126" s="17">
        <v>29606923</v>
      </c>
      <c r="I126" s="17">
        <v>13419667.43</v>
      </c>
      <c r="J126" s="17">
        <f t="shared" si="7"/>
        <v>16187255.57</v>
      </c>
      <c r="K126" s="17">
        <f t="shared" si="12"/>
        <v>16187255.57</v>
      </c>
      <c r="L126" s="17"/>
      <c r="M126" s="17"/>
      <c r="N126" s="17">
        <f t="shared" si="11"/>
        <v>16187255.57</v>
      </c>
      <c r="O126" s="17">
        <f t="shared" si="8"/>
        <v>16187255.57</v>
      </c>
      <c r="P126" s="17">
        <f t="shared" si="9"/>
        <v>0</v>
      </c>
      <c r="Q126" s="17"/>
      <c r="R126" s="17">
        <f t="shared" si="10"/>
        <v>16187255.57</v>
      </c>
    </row>
    <row r="127" spans="1:18" ht="12.75" customHeight="1">
      <c r="A127" s="15"/>
      <c r="B127" s="15"/>
      <c r="C127" s="15"/>
      <c r="D127" s="15"/>
      <c r="E127" s="41" t="s">
        <v>109</v>
      </c>
      <c r="F127" s="41" t="s">
        <v>183</v>
      </c>
      <c r="G127" s="16">
        <v>88888</v>
      </c>
      <c r="H127" s="17">
        <v>11770048</v>
      </c>
      <c r="I127" s="17">
        <f>1751603.27-I128-I129</f>
        <v>-654753.73</v>
      </c>
      <c r="J127" s="17">
        <f t="shared" si="7"/>
        <v>12424801.73</v>
      </c>
      <c r="K127" s="17">
        <f>J127+J128+J129</f>
        <v>10018444.73</v>
      </c>
      <c r="L127" s="17"/>
      <c r="M127" s="17"/>
      <c r="N127" s="17">
        <f t="shared" si="11"/>
        <v>10018444.73</v>
      </c>
      <c r="O127" s="17">
        <f t="shared" si="8"/>
        <v>10018444.73</v>
      </c>
      <c r="P127" s="17">
        <f t="shared" si="9"/>
        <v>0</v>
      </c>
      <c r="Q127" s="17"/>
      <c r="R127" s="17">
        <f t="shared" si="10"/>
        <v>10018444.73</v>
      </c>
    </row>
    <row r="128" spans="1:18" ht="12.75" customHeight="1">
      <c r="A128" s="15"/>
      <c r="B128" s="15"/>
      <c r="C128" s="15"/>
      <c r="D128" s="15"/>
      <c r="E128" s="41" t="s">
        <v>109</v>
      </c>
      <c r="F128" s="41" t="s">
        <v>183</v>
      </c>
      <c r="G128" s="16">
        <v>36990</v>
      </c>
      <c r="H128" s="17">
        <v>0</v>
      </c>
      <c r="I128" s="17">
        <v>750000</v>
      </c>
      <c r="J128" s="17">
        <f>H128-I128</f>
        <v>-750000</v>
      </c>
      <c r="K128" s="17"/>
      <c r="L128" s="17"/>
      <c r="M128" s="17"/>
      <c r="N128" s="17">
        <f>SUM(K128:M128)</f>
        <v>0</v>
      </c>
      <c r="O128" s="17">
        <f>IF(G128=88888,N128,0)</f>
        <v>0</v>
      </c>
      <c r="P128" s="17">
        <f t="shared" si="9"/>
        <v>0</v>
      </c>
      <c r="Q128" s="17">
        <f>K128</f>
        <v>0</v>
      </c>
      <c r="R128" s="17">
        <f t="shared" si="10"/>
        <v>0</v>
      </c>
    </row>
    <row r="129" spans="1:18" ht="12.75" customHeight="1">
      <c r="A129" s="15"/>
      <c r="B129" s="15"/>
      <c r="C129" s="15"/>
      <c r="D129" s="15"/>
      <c r="E129" s="41" t="s">
        <v>109</v>
      </c>
      <c r="F129" s="41" t="s">
        <v>183</v>
      </c>
      <c r="G129" s="16">
        <v>33381</v>
      </c>
      <c r="H129" s="17">
        <v>0</v>
      </c>
      <c r="I129" s="17">
        <v>1656357</v>
      </c>
      <c r="J129" s="17">
        <f>H129-I129</f>
        <v>-1656357</v>
      </c>
      <c r="K129" s="17"/>
      <c r="L129" s="17"/>
      <c r="M129" s="17"/>
      <c r="N129" s="17">
        <f>SUM(K129:M129)</f>
        <v>0</v>
      </c>
      <c r="O129" s="17">
        <f>IF(G129=88888,N129,0)</f>
        <v>0</v>
      </c>
      <c r="P129" s="17">
        <f t="shared" si="9"/>
        <v>0</v>
      </c>
      <c r="Q129" s="17"/>
      <c r="R129" s="17">
        <f t="shared" si="10"/>
        <v>0</v>
      </c>
    </row>
    <row r="130" spans="1:18" ht="12.75" customHeight="1">
      <c r="A130" s="15"/>
      <c r="B130" s="15"/>
      <c r="C130" s="15"/>
      <c r="D130" s="15"/>
      <c r="E130" s="41" t="s">
        <v>110</v>
      </c>
      <c r="F130" s="41" t="s">
        <v>184</v>
      </c>
      <c r="G130" s="16">
        <v>88888</v>
      </c>
      <c r="H130" s="17">
        <f>25345905-H131-H132</f>
        <v>10584081</v>
      </c>
      <c r="I130" s="17">
        <f>4475717.7-I132</f>
        <v>3532280.7</v>
      </c>
      <c r="J130" s="17">
        <f t="shared" si="7"/>
        <v>7051800.3</v>
      </c>
      <c r="K130" s="17">
        <f t="shared" si="12"/>
        <v>7051800.3</v>
      </c>
      <c r="L130" s="17"/>
      <c r="M130" s="17"/>
      <c r="N130" s="17">
        <f t="shared" si="11"/>
        <v>7051800.3</v>
      </c>
      <c r="O130" s="17">
        <f t="shared" si="8"/>
        <v>7051800.3</v>
      </c>
      <c r="P130" s="17">
        <f t="shared" si="9"/>
        <v>0</v>
      </c>
      <c r="Q130" s="17"/>
      <c r="R130" s="17">
        <f t="shared" si="10"/>
        <v>7051800.3</v>
      </c>
    </row>
    <row r="131" spans="1:18" ht="12.75" customHeight="1">
      <c r="A131" s="15"/>
      <c r="B131" s="15"/>
      <c r="C131" s="15"/>
      <c r="D131" s="15"/>
      <c r="E131" s="41" t="s">
        <v>110</v>
      </c>
      <c r="F131" s="41" t="s">
        <v>184</v>
      </c>
      <c r="G131" s="16">
        <v>33000</v>
      </c>
      <c r="H131" s="17">
        <v>7000000</v>
      </c>
      <c r="I131" s="17">
        <v>0</v>
      </c>
      <c r="J131" s="17">
        <f>H131-I131</f>
        <v>7000000</v>
      </c>
      <c r="K131" s="17">
        <f t="shared" si="12"/>
        <v>7000000</v>
      </c>
      <c r="L131" s="17"/>
      <c r="M131" s="17"/>
      <c r="N131" s="17">
        <f>SUM(K131:M131)</f>
        <v>7000000</v>
      </c>
      <c r="O131" s="17">
        <f>IF(G131=88888,N131,0)</f>
        <v>0</v>
      </c>
      <c r="P131" s="17">
        <f t="shared" si="9"/>
        <v>0</v>
      </c>
      <c r="Q131" s="17">
        <f>K131</f>
        <v>7000000</v>
      </c>
      <c r="R131" s="17">
        <f t="shared" si="10"/>
        <v>7000000</v>
      </c>
    </row>
    <row r="132" spans="1:18" ht="12.75" customHeight="1">
      <c r="A132" s="15"/>
      <c r="B132" s="15"/>
      <c r="C132" s="15"/>
      <c r="D132" s="15"/>
      <c r="E132" s="41" t="s">
        <v>110</v>
      </c>
      <c r="F132" s="41" t="s">
        <v>184</v>
      </c>
      <c r="G132" s="16">
        <v>33381</v>
      </c>
      <c r="H132" s="17">
        <v>7761824</v>
      </c>
      <c r="I132" s="17">
        <v>943437</v>
      </c>
      <c r="J132" s="17">
        <f>H132-I132</f>
        <v>6818387</v>
      </c>
      <c r="K132" s="17">
        <f t="shared" si="12"/>
        <v>6818387</v>
      </c>
      <c r="L132" s="17"/>
      <c r="M132" s="17"/>
      <c r="N132" s="17">
        <f>SUM(K132:M132)</f>
        <v>6818387</v>
      </c>
      <c r="O132" s="17">
        <f>IF(G132=88888,N132,0)</f>
        <v>0</v>
      </c>
      <c r="P132" s="17">
        <f t="shared" si="9"/>
        <v>6818387</v>
      </c>
      <c r="Q132" s="17"/>
      <c r="R132" s="17">
        <f t="shared" si="10"/>
        <v>6818387</v>
      </c>
    </row>
    <row r="133" spans="1:18" ht="12.75" customHeight="1">
      <c r="A133" s="15"/>
      <c r="B133" s="15"/>
      <c r="C133" s="15"/>
      <c r="D133" s="15"/>
      <c r="E133" s="41" t="s">
        <v>111</v>
      </c>
      <c r="F133" s="41" t="s">
        <v>226</v>
      </c>
      <c r="G133" s="16">
        <v>88888</v>
      </c>
      <c r="H133" s="17">
        <v>-4791</v>
      </c>
      <c r="I133" s="17">
        <f>-60.47</f>
        <v>-60.47</v>
      </c>
      <c r="J133" s="17">
        <f t="shared" si="7"/>
        <v>-4730.53</v>
      </c>
      <c r="K133" s="17">
        <f t="shared" si="12"/>
        <v>-4730.53</v>
      </c>
      <c r="L133" s="17"/>
      <c r="M133" s="17"/>
      <c r="N133" s="17">
        <f>SUM(K133:M133)*0</f>
        <v>0</v>
      </c>
      <c r="O133" s="17">
        <f t="shared" si="8"/>
        <v>0</v>
      </c>
      <c r="P133" s="17">
        <f t="shared" si="9"/>
        <v>0</v>
      </c>
      <c r="Q133" s="17"/>
      <c r="R133" s="17">
        <f t="shared" si="10"/>
        <v>0</v>
      </c>
    </row>
    <row r="134" spans="1:18" ht="12.75" customHeight="1">
      <c r="A134" s="15"/>
      <c r="B134" s="15"/>
      <c r="C134" s="15"/>
      <c r="D134" s="15"/>
      <c r="E134" s="41" t="s">
        <v>112</v>
      </c>
      <c r="F134" s="41" t="s">
        <v>218</v>
      </c>
      <c r="G134" s="16">
        <v>88888</v>
      </c>
      <c r="H134" s="17">
        <v>80</v>
      </c>
      <c r="I134" s="17">
        <v>0</v>
      </c>
      <c r="J134" s="17">
        <f t="shared" si="7"/>
        <v>80</v>
      </c>
      <c r="K134" s="17">
        <f t="shared" si="12"/>
        <v>80</v>
      </c>
      <c r="L134" s="17"/>
      <c r="M134" s="17"/>
      <c r="N134" s="17">
        <f t="shared" si="11"/>
        <v>80</v>
      </c>
      <c r="O134" s="17">
        <f t="shared" si="8"/>
        <v>80</v>
      </c>
      <c r="P134" s="17">
        <f t="shared" si="9"/>
        <v>0</v>
      </c>
      <c r="Q134" s="17"/>
      <c r="R134" s="17">
        <f t="shared" si="10"/>
        <v>80</v>
      </c>
    </row>
    <row r="135" spans="1:18" ht="12.75" customHeight="1">
      <c r="A135" s="15"/>
      <c r="B135" s="15"/>
      <c r="C135" s="15"/>
      <c r="D135" s="15"/>
      <c r="E135" s="41" t="s">
        <v>113</v>
      </c>
      <c r="F135" s="41" t="s">
        <v>156</v>
      </c>
      <c r="G135" s="16">
        <v>88888</v>
      </c>
      <c r="H135" s="17">
        <v>1917889</v>
      </c>
      <c r="I135" s="17">
        <f>675556.81-I136</f>
        <v>517708.81000000006</v>
      </c>
      <c r="J135" s="17">
        <f t="shared" si="7"/>
        <v>1400180.19</v>
      </c>
      <c r="K135" s="17">
        <f>J135+J136</f>
        <v>1242332.19</v>
      </c>
      <c r="L135" s="17"/>
      <c r="M135" s="17"/>
      <c r="N135" s="17">
        <f t="shared" si="11"/>
        <v>1242332.19</v>
      </c>
      <c r="O135" s="17">
        <f t="shared" si="8"/>
        <v>1242332.19</v>
      </c>
      <c r="P135" s="17">
        <f t="shared" si="9"/>
        <v>0</v>
      </c>
      <c r="Q135" s="17"/>
      <c r="R135" s="17">
        <f t="shared" si="10"/>
        <v>1242332.19</v>
      </c>
    </row>
    <row r="136" spans="1:18" ht="12.75" customHeight="1">
      <c r="A136" s="15"/>
      <c r="B136" s="15"/>
      <c r="C136" s="15"/>
      <c r="D136" s="15"/>
      <c r="E136" s="41" t="s">
        <v>113</v>
      </c>
      <c r="F136" s="41" t="s">
        <v>156</v>
      </c>
      <c r="G136" s="16">
        <v>33381</v>
      </c>
      <c r="H136" s="17">
        <v>0</v>
      </c>
      <c r="I136" s="17">
        <v>157848</v>
      </c>
      <c r="J136" s="17">
        <f>H136-I136</f>
        <v>-157848</v>
      </c>
      <c r="K136" s="17"/>
      <c r="L136" s="17"/>
      <c r="M136" s="17"/>
      <c r="N136" s="17">
        <f>SUM(K136:M136)</f>
        <v>0</v>
      </c>
      <c r="O136" s="17">
        <f>IF(G136=88888,N136,0)</f>
        <v>0</v>
      </c>
      <c r="P136" s="17">
        <f t="shared" si="9"/>
        <v>0</v>
      </c>
      <c r="Q136" s="17"/>
      <c r="R136" s="17">
        <f t="shared" si="10"/>
        <v>0</v>
      </c>
    </row>
    <row r="137" spans="1:18" ht="12.75" customHeight="1">
      <c r="A137" s="15"/>
      <c r="B137" s="15"/>
      <c r="C137" s="15"/>
      <c r="D137" s="15"/>
      <c r="E137" s="41" t="s">
        <v>185</v>
      </c>
      <c r="F137" s="41" t="s">
        <v>186</v>
      </c>
      <c r="G137" s="16">
        <v>88888</v>
      </c>
      <c r="H137" s="17">
        <v>0</v>
      </c>
      <c r="I137" s="17">
        <v>0</v>
      </c>
      <c r="J137" s="17">
        <f t="shared" si="7"/>
        <v>0</v>
      </c>
      <c r="K137" s="17">
        <f t="shared" si="12"/>
        <v>0</v>
      </c>
      <c r="L137" s="17"/>
      <c r="M137" s="17"/>
      <c r="N137" s="17">
        <f t="shared" si="11"/>
        <v>0</v>
      </c>
      <c r="O137" s="17">
        <f t="shared" si="8"/>
        <v>0</v>
      </c>
      <c r="P137" s="17">
        <f t="shared" si="9"/>
        <v>0</v>
      </c>
      <c r="Q137" s="17"/>
      <c r="R137" s="17">
        <f t="shared" si="10"/>
        <v>0</v>
      </c>
    </row>
    <row r="138" spans="1:18" ht="12.75" customHeight="1">
      <c r="A138" s="15"/>
      <c r="B138" s="15"/>
      <c r="C138" s="15"/>
      <c r="D138" s="15"/>
      <c r="E138" s="41" t="s">
        <v>114</v>
      </c>
      <c r="F138" s="41" t="s">
        <v>191</v>
      </c>
      <c r="G138" s="16">
        <v>88888</v>
      </c>
      <c r="H138" s="17">
        <f>-10162</f>
        <v>-10162</v>
      </c>
      <c r="I138" s="17">
        <v>-10162.4</v>
      </c>
      <c r="J138" s="17">
        <f>H138-I138</f>
        <v>0.3999999999996362</v>
      </c>
      <c r="K138" s="17">
        <f>J138</f>
        <v>0.3999999999996362</v>
      </c>
      <c r="L138" s="17"/>
      <c r="M138" s="17"/>
      <c r="N138" s="17">
        <f t="shared" si="11"/>
        <v>0.3999999999996362</v>
      </c>
      <c r="O138" s="17">
        <f t="shared" si="8"/>
        <v>0.3999999999996362</v>
      </c>
      <c r="P138" s="17">
        <f t="shared" si="9"/>
        <v>0</v>
      </c>
      <c r="Q138" s="17"/>
      <c r="R138" s="17">
        <f t="shared" si="10"/>
        <v>0.3999999999996362</v>
      </c>
    </row>
    <row r="139" spans="1:18" ht="12.75" customHeight="1">
      <c r="A139" s="44"/>
      <c r="B139" s="44"/>
      <c r="C139" s="44"/>
      <c r="D139" s="44"/>
      <c r="E139" s="53" t="s">
        <v>115</v>
      </c>
      <c r="F139" s="53" t="s">
        <v>157</v>
      </c>
      <c r="G139" s="54">
        <v>88888</v>
      </c>
      <c r="H139" s="45">
        <v>894562</v>
      </c>
      <c r="I139" s="45">
        <f>4715.77-I140</f>
        <v>8939.77</v>
      </c>
      <c r="J139" s="45">
        <f t="shared" si="7"/>
        <v>885622.23</v>
      </c>
      <c r="K139" s="45">
        <f t="shared" si="12"/>
        <v>885622.23</v>
      </c>
      <c r="L139" s="45"/>
      <c r="M139" s="45"/>
      <c r="N139" s="45">
        <f t="shared" si="11"/>
        <v>885622.23</v>
      </c>
      <c r="O139" s="45">
        <f t="shared" si="8"/>
        <v>885622.23</v>
      </c>
      <c r="P139" s="45">
        <f t="shared" si="9"/>
        <v>0</v>
      </c>
      <c r="Q139" s="45"/>
      <c r="R139" s="45">
        <f t="shared" si="10"/>
        <v>885622.23</v>
      </c>
    </row>
    <row r="140" spans="1:18" ht="12.75" customHeight="1">
      <c r="A140" s="44"/>
      <c r="B140" s="44"/>
      <c r="C140" s="44"/>
      <c r="D140" s="44"/>
      <c r="E140" s="53" t="s">
        <v>115</v>
      </c>
      <c r="F140" s="53" t="s">
        <v>157</v>
      </c>
      <c r="G140" s="54">
        <v>33381</v>
      </c>
      <c r="H140" s="45">
        <v>0</v>
      </c>
      <c r="I140" s="45">
        <v>-4224</v>
      </c>
      <c r="J140" s="45">
        <f t="shared" si="7"/>
        <v>4224</v>
      </c>
      <c r="K140" s="45">
        <f t="shared" si="12"/>
        <v>4224</v>
      </c>
      <c r="L140" s="45"/>
      <c r="M140" s="45"/>
      <c r="N140" s="45">
        <f>SUM(K140:M140)</f>
        <v>4224</v>
      </c>
      <c r="O140" s="45">
        <f>IF(G140=88888,N140,0)</f>
        <v>0</v>
      </c>
      <c r="P140" s="45">
        <f t="shared" si="9"/>
        <v>4224</v>
      </c>
      <c r="Q140" s="45"/>
      <c r="R140" s="45">
        <f t="shared" si="10"/>
        <v>4224</v>
      </c>
    </row>
    <row r="141" spans="1:18" ht="12.75" customHeight="1">
      <c r="A141" s="15"/>
      <c r="B141" s="15"/>
      <c r="C141" s="15"/>
      <c r="D141" s="15"/>
      <c r="E141" s="41" t="s">
        <v>116</v>
      </c>
      <c r="F141" s="41" t="s">
        <v>167</v>
      </c>
      <c r="G141" s="16">
        <v>88888</v>
      </c>
      <c r="H141" s="17">
        <f>2833922-H142</f>
        <v>2307922</v>
      </c>
      <c r="I141" s="17">
        <v>157745.18</v>
      </c>
      <c r="J141" s="17">
        <f t="shared" si="7"/>
        <v>2150176.82</v>
      </c>
      <c r="K141" s="17">
        <f t="shared" si="12"/>
        <v>2150176.82</v>
      </c>
      <c r="L141" s="17"/>
      <c r="M141" s="17"/>
      <c r="N141" s="17">
        <f t="shared" si="11"/>
        <v>2150176.82</v>
      </c>
      <c r="O141" s="17">
        <f t="shared" si="8"/>
        <v>2150176.82</v>
      </c>
      <c r="P141" s="17">
        <f t="shared" si="9"/>
        <v>0</v>
      </c>
      <c r="Q141" s="17"/>
      <c r="R141" s="17">
        <f t="shared" si="10"/>
        <v>2150176.82</v>
      </c>
    </row>
    <row r="142" spans="1:18" ht="12.75" customHeight="1">
      <c r="A142" s="15"/>
      <c r="B142" s="15"/>
      <c r="C142" s="15"/>
      <c r="D142" s="15"/>
      <c r="E142" s="41" t="s">
        <v>116</v>
      </c>
      <c r="F142" s="41" t="s">
        <v>167</v>
      </c>
      <c r="G142" s="16">
        <v>33381</v>
      </c>
      <c r="H142" s="17">
        <v>526000</v>
      </c>
      <c r="I142" s="17">
        <v>0</v>
      </c>
      <c r="J142" s="17">
        <f>H142-I142</f>
        <v>526000</v>
      </c>
      <c r="K142" s="17">
        <f t="shared" si="12"/>
        <v>526000</v>
      </c>
      <c r="L142" s="17"/>
      <c r="M142" s="17"/>
      <c r="N142" s="17">
        <f>SUM(K142:M142)</f>
        <v>526000</v>
      </c>
      <c r="O142" s="17">
        <f>IF(G142=88888,N142,0)</f>
        <v>0</v>
      </c>
      <c r="P142" s="17">
        <f t="shared" si="9"/>
        <v>526000</v>
      </c>
      <c r="Q142" s="17"/>
      <c r="R142" s="17">
        <f t="shared" si="10"/>
        <v>526000</v>
      </c>
    </row>
    <row r="143" spans="1:18" ht="12.75" customHeight="1">
      <c r="A143" s="15"/>
      <c r="B143" s="15"/>
      <c r="C143" s="15"/>
      <c r="D143" s="15"/>
      <c r="E143" s="41" t="s">
        <v>117</v>
      </c>
      <c r="F143" s="41" t="s">
        <v>168</v>
      </c>
      <c r="G143" s="16">
        <v>88888</v>
      </c>
      <c r="H143" s="17">
        <v>8693125</v>
      </c>
      <c r="I143" s="17">
        <v>766244.22</v>
      </c>
      <c r="J143" s="17">
        <f t="shared" si="7"/>
        <v>7926880.78</v>
      </c>
      <c r="K143" s="17">
        <f t="shared" si="12"/>
        <v>7926880.78</v>
      </c>
      <c r="L143" s="17"/>
      <c r="M143" s="17"/>
      <c r="N143" s="17">
        <f t="shared" si="11"/>
        <v>7926880.78</v>
      </c>
      <c r="O143" s="17">
        <f t="shared" si="8"/>
        <v>7926880.78</v>
      </c>
      <c r="P143" s="17">
        <f t="shared" si="9"/>
        <v>0</v>
      </c>
      <c r="Q143" s="17"/>
      <c r="R143" s="17">
        <f t="shared" si="10"/>
        <v>7926880.78</v>
      </c>
    </row>
    <row r="144" spans="1:18" ht="12.75" customHeight="1">
      <c r="A144" s="15"/>
      <c r="B144" s="15"/>
      <c r="C144" s="15"/>
      <c r="D144" s="15"/>
      <c r="E144" s="41" t="s">
        <v>118</v>
      </c>
      <c r="F144" s="41" t="s">
        <v>158</v>
      </c>
      <c r="G144" s="16">
        <v>88888</v>
      </c>
      <c r="H144" s="17">
        <v>1299134</v>
      </c>
      <c r="I144" s="17">
        <v>664465.04</v>
      </c>
      <c r="J144" s="17">
        <f t="shared" si="7"/>
        <v>634668.96</v>
      </c>
      <c r="K144" s="17">
        <f t="shared" si="12"/>
        <v>634668.96</v>
      </c>
      <c r="L144" s="17"/>
      <c r="M144" s="17"/>
      <c r="N144" s="17">
        <f t="shared" si="11"/>
        <v>634668.96</v>
      </c>
      <c r="O144" s="17">
        <f t="shared" si="8"/>
        <v>634668.96</v>
      </c>
      <c r="P144" s="17">
        <f t="shared" si="9"/>
        <v>0</v>
      </c>
      <c r="Q144" s="17"/>
      <c r="R144" s="17">
        <f t="shared" si="10"/>
        <v>634668.96</v>
      </c>
    </row>
    <row r="145" spans="1:18" ht="12.75" customHeight="1">
      <c r="A145" s="15"/>
      <c r="B145" s="15"/>
      <c r="C145" s="15"/>
      <c r="D145" s="15"/>
      <c r="E145" s="41" t="s">
        <v>119</v>
      </c>
      <c r="F145" s="41" t="s">
        <v>202</v>
      </c>
      <c r="G145" s="16">
        <v>88888</v>
      </c>
      <c r="H145" s="17">
        <v>81000</v>
      </c>
      <c r="I145" s="17">
        <f>82196.84-I146</f>
        <v>77081.84</v>
      </c>
      <c r="J145" s="17">
        <f t="shared" si="7"/>
        <v>3918.1600000000035</v>
      </c>
      <c r="K145" s="17">
        <f>J145+J146</f>
        <v>-1196.8399999999965</v>
      </c>
      <c r="L145" s="17"/>
      <c r="M145" s="17"/>
      <c r="N145" s="17">
        <f>SUM(K145:M145)*0</f>
        <v>0</v>
      </c>
      <c r="O145" s="17">
        <f t="shared" si="8"/>
        <v>0</v>
      </c>
      <c r="P145" s="17">
        <f t="shared" si="9"/>
        <v>0</v>
      </c>
      <c r="Q145" s="17"/>
      <c r="R145" s="17">
        <f t="shared" si="10"/>
        <v>0</v>
      </c>
    </row>
    <row r="146" spans="1:18" ht="12.75" customHeight="1">
      <c r="A146" s="15"/>
      <c r="B146" s="15"/>
      <c r="C146" s="15"/>
      <c r="D146" s="15"/>
      <c r="E146" s="41" t="s">
        <v>119</v>
      </c>
      <c r="F146" s="41" t="s">
        <v>202</v>
      </c>
      <c r="G146" s="16">
        <v>46474</v>
      </c>
      <c r="H146" s="17">
        <v>0</v>
      </c>
      <c r="I146" s="17">
        <v>5115</v>
      </c>
      <c r="J146" s="17">
        <f>H146-I146</f>
        <v>-5115</v>
      </c>
      <c r="K146" s="17"/>
      <c r="L146" s="17"/>
      <c r="M146" s="17"/>
      <c r="N146" s="17">
        <f>SUM(K146:M146)</f>
        <v>0</v>
      </c>
      <c r="O146" s="17">
        <f>IF(G146=88888,N146,0)</f>
        <v>0</v>
      </c>
      <c r="P146" s="17">
        <f t="shared" si="9"/>
        <v>0</v>
      </c>
      <c r="Q146" s="17">
        <f>K146</f>
        <v>0</v>
      </c>
      <c r="R146" s="17">
        <f t="shared" si="10"/>
        <v>0</v>
      </c>
    </row>
    <row r="147" spans="1:18" ht="12.75" customHeight="1">
      <c r="A147" s="15"/>
      <c r="B147" s="15"/>
      <c r="C147" s="15"/>
      <c r="D147" s="15"/>
      <c r="E147" s="41" t="s">
        <v>120</v>
      </c>
      <c r="F147" s="41" t="s">
        <v>219</v>
      </c>
      <c r="G147" s="16">
        <v>88888</v>
      </c>
      <c r="H147" s="17">
        <v>277602</v>
      </c>
      <c r="I147" s="17">
        <v>123252.78</v>
      </c>
      <c r="J147" s="17">
        <f t="shared" si="7"/>
        <v>154349.22</v>
      </c>
      <c r="K147" s="17">
        <f t="shared" si="12"/>
        <v>154349.22</v>
      </c>
      <c r="L147" s="17"/>
      <c r="M147" s="17"/>
      <c r="N147" s="17">
        <f t="shared" si="11"/>
        <v>154349.22</v>
      </c>
      <c r="O147" s="17">
        <f t="shared" si="8"/>
        <v>154349.22</v>
      </c>
      <c r="P147" s="17">
        <f t="shared" si="9"/>
        <v>0</v>
      </c>
      <c r="Q147" s="17"/>
      <c r="R147" s="17">
        <f t="shared" si="10"/>
        <v>154349.22</v>
      </c>
    </row>
    <row r="148" spans="1:18" ht="12.75" customHeight="1">
      <c r="A148" s="15"/>
      <c r="B148" s="15"/>
      <c r="C148" s="15"/>
      <c r="D148" s="15"/>
      <c r="E148" s="41" t="s">
        <v>139</v>
      </c>
      <c r="F148" s="41" t="s">
        <v>245</v>
      </c>
      <c r="G148" s="16">
        <v>88888</v>
      </c>
      <c r="H148" s="17">
        <v>3871751</v>
      </c>
      <c r="I148" s="17">
        <v>3288471.69</v>
      </c>
      <c r="J148" s="17">
        <f t="shared" si="7"/>
        <v>583279.31</v>
      </c>
      <c r="K148" s="17">
        <f t="shared" si="12"/>
        <v>583279.31</v>
      </c>
      <c r="L148" s="17"/>
      <c r="M148" s="17"/>
      <c r="N148" s="17">
        <f t="shared" si="11"/>
        <v>583279.31</v>
      </c>
      <c r="O148" s="17">
        <f t="shared" si="8"/>
        <v>583279.31</v>
      </c>
      <c r="P148" s="17">
        <f t="shared" si="9"/>
        <v>0</v>
      </c>
      <c r="Q148" s="17"/>
      <c r="R148" s="17">
        <f t="shared" si="10"/>
        <v>583279.31</v>
      </c>
    </row>
    <row r="149" spans="1:18" ht="12.75" customHeight="1">
      <c r="A149" s="15"/>
      <c r="B149" s="15"/>
      <c r="C149" s="15"/>
      <c r="D149" s="15"/>
      <c r="E149" s="41" t="s">
        <v>121</v>
      </c>
      <c r="F149" s="41" t="s">
        <v>220</v>
      </c>
      <c r="G149" s="16">
        <v>88888</v>
      </c>
      <c r="H149" s="17">
        <v>177373</v>
      </c>
      <c r="I149" s="17">
        <v>146016.75</v>
      </c>
      <c r="J149" s="17">
        <f t="shared" si="7"/>
        <v>31356.25</v>
      </c>
      <c r="K149" s="17">
        <f t="shared" si="12"/>
        <v>31356.25</v>
      </c>
      <c r="L149" s="17"/>
      <c r="M149" s="17"/>
      <c r="N149" s="17">
        <f t="shared" si="11"/>
        <v>31356.25</v>
      </c>
      <c r="O149" s="17">
        <f t="shared" si="8"/>
        <v>31356.25</v>
      </c>
      <c r="P149" s="17">
        <f t="shared" si="9"/>
        <v>0</v>
      </c>
      <c r="Q149" s="17"/>
      <c r="R149" s="17">
        <f t="shared" si="10"/>
        <v>31356.25</v>
      </c>
    </row>
    <row r="150" spans="1:18" ht="12.75" customHeight="1">
      <c r="A150" s="15"/>
      <c r="B150" s="15"/>
      <c r="C150" s="15"/>
      <c r="D150" s="15"/>
      <c r="E150" s="41" t="s">
        <v>122</v>
      </c>
      <c r="F150" s="41" t="s">
        <v>159</v>
      </c>
      <c r="G150" s="16">
        <v>88888</v>
      </c>
      <c r="H150" s="17">
        <v>2040000</v>
      </c>
      <c r="I150" s="17">
        <v>0</v>
      </c>
      <c r="J150" s="17">
        <f t="shared" si="7"/>
        <v>2040000</v>
      </c>
      <c r="K150" s="17">
        <f t="shared" si="12"/>
        <v>2040000</v>
      </c>
      <c r="L150" s="17"/>
      <c r="M150" s="17"/>
      <c r="N150" s="17">
        <f t="shared" si="11"/>
        <v>2040000</v>
      </c>
      <c r="O150" s="17">
        <f t="shared" si="8"/>
        <v>2040000</v>
      </c>
      <c r="P150" s="17">
        <f t="shared" si="9"/>
        <v>0</v>
      </c>
      <c r="Q150" s="17"/>
      <c r="R150" s="17">
        <f t="shared" si="10"/>
        <v>2040000</v>
      </c>
    </row>
    <row r="151" spans="1:18" ht="12.75" customHeight="1">
      <c r="A151" s="15"/>
      <c r="B151" s="15"/>
      <c r="C151" s="15"/>
      <c r="D151" s="15"/>
      <c r="E151" s="41" t="s">
        <v>123</v>
      </c>
      <c r="F151" s="41" t="s">
        <v>137</v>
      </c>
      <c r="G151" s="16">
        <v>88888</v>
      </c>
      <c r="H151" s="17">
        <v>4622695</v>
      </c>
      <c r="I151" s="17">
        <v>959498.87</v>
      </c>
      <c r="J151" s="17">
        <f t="shared" si="7"/>
        <v>3663196.13</v>
      </c>
      <c r="K151" s="17">
        <f t="shared" si="12"/>
        <v>3663196.13</v>
      </c>
      <c r="L151" s="17"/>
      <c r="M151" s="17"/>
      <c r="N151" s="17">
        <f t="shared" si="11"/>
        <v>3663196.13</v>
      </c>
      <c r="O151" s="17">
        <f t="shared" si="8"/>
        <v>3663196.13</v>
      </c>
      <c r="P151" s="17">
        <f t="shared" si="9"/>
        <v>0</v>
      </c>
      <c r="Q151" s="17"/>
      <c r="R151" s="17">
        <f t="shared" si="10"/>
        <v>3663196.13</v>
      </c>
    </row>
    <row r="152" spans="1:18" ht="12.75" customHeight="1">
      <c r="A152" s="15"/>
      <c r="B152" s="15"/>
      <c r="C152" s="15"/>
      <c r="D152" s="15"/>
      <c r="E152" s="41" t="s">
        <v>124</v>
      </c>
      <c r="F152" s="41" t="s">
        <v>169</v>
      </c>
      <c r="G152" s="16">
        <v>88888</v>
      </c>
      <c r="H152" s="17">
        <v>595759</v>
      </c>
      <c r="I152" s="17">
        <v>49148.65</v>
      </c>
      <c r="J152" s="17">
        <f t="shared" si="7"/>
        <v>546610.35</v>
      </c>
      <c r="K152" s="17">
        <f t="shared" si="12"/>
        <v>546610.35</v>
      </c>
      <c r="L152" s="17"/>
      <c r="M152" s="17"/>
      <c r="N152" s="17">
        <f t="shared" si="11"/>
        <v>546610.35</v>
      </c>
      <c r="O152" s="17">
        <f t="shared" si="8"/>
        <v>546610.35</v>
      </c>
      <c r="P152" s="17">
        <f t="shared" si="9"/>
        <v>0</v>
      </c>
      <c r="Q152" s="17"/>
      <c r="R152" s="17">
        <f t="shared" si="10"/>
        <v>546610.35</v>
      </c>
    </row>
    <row r="153" spans="1:18" ht="12.75" customHeight="1">
      <c r="A153" s="15"/>
      <c r="B153" s="15"/>
      <c r="C153" s="15"/>
      <c r="D153" s="15"/>
      <c r="E153" s="41" t="s">
        <v>125</v>
      </c>
      <c r="F153" s="41" t="s">
        <v>170</v>
      </c>
      <c r="G153" s="16">
        <v>88888</v>
      </c>
      <c r="H153" s="17">
        <v>23780</v>
      </c>
      <c r="I153" s="17">
        <v>13506.22</v>
      </c>
      <c r="J153" s="17">
        <f t="shared" si="7"/>
        <v>10273.78</v>
      </c>
      <c r="K153" s="17">
        <f t="shared" si="12"/>
        <v>10273.78</v>
      </c>
      <c r="L153" s="17"/>
      <c r="M153" s="17"/>
      <c r="N153" s="17">
        <f t="shared" si="11"/>
        <v>10273.78</v>
      </c>
      <c r="O153" s="17">
        <f t="shared" si="8"/>
        <v>10273.78</v>
      </c>
      <c r="P153" s="17">
        <f t="shared" si="9"/>
        <v>0</v>
      </c>
      <c r="Q153" s="17"/>
      <c r="R153" s="17">
        <f t="shared" si="10"/>
        <v>10273.78</v>
      </c>
    </row>
    <row r="154" spans="1:18" ht="12.75" customHeight="1">
      <c r="A154" s="15"/>
      <c r="B154" s="15"/>
      <c r="C154" s="15"/>
      <c r="D154" s="15"/>
      <c r="E154" s="41" t="s">
        <v>126</v>
      </c>
      <c r="F154" s="41" t="s">
        <v>171</v>
      </c>
      <c r="G154" s="16">
        <v>88888</v>
      </c>
      <c r="H154" s="17">
        <f>768749-H155</f>
        <v>718749</v>
      </c>
      <c r="I154" s="17">
        <v>189108.16</v>
      </c>
      <c r="J154" s="17">
        <f t="shared" si="7"/>
        <v>529640.84</v>
      </c>
      <c r="K154" s="17">
        <f t="shared" si="12"/>
        <v>529640.84</v>
      </c>
      <c r="L154" s="17"/>
      <c r="M154" s="17"/>
      <c r="N154" s="17">
        <f t="shared" si="11"/>
        <v>529640.84</v>
      </c>
      <c r="O154" s="17">
        <f t="shared" si="8"/>
        <v>529640.84</v>
      </c>
      <c r="P154" s="17">
        <f t="shared" si="9"/>
        <v>0</v>
      </c>
      <c r="Q154" s="17"/>
      <c r="R154" s="17">
        <f t="shared" si="10"/>
        <v>529640.84</v>
      </c>
    </row>
    <row r="155" spans="1:18" ht="12.75" customHeight="1">
      <c r="A155" s="15"/>
      <c r="B155" s="15"/>
      <c r="C155" s="15"/>
      <c r="D155" s="15"/>
      <c r="E155" s="41" t="s">
        <v>126</v>
      </c>
      <c r="F155" s="41" t="s">
        <v>171</v>
      </c>
      <c r="G155" s="16">
        <v>33800</v>
      </c>
      <c r="H155" s="17">
        <v>50000</v>
      </c>
      <c r="I155" s="17">
        <v>0</v>
      </c>
      <c r="J155" s="17">
        <f>H155-I155</f>
        <v>50000</v>
      </c>
      <c r="K155" s="17">
        <f t="shared" si="12"/>
        <v>50000</v>
      </c>
      <c r="L155" s="17"/>
      <c r="M155" s="17"/>
      <c r="N155" s="17">
        <f>SUM(K155:M155)</f>
        <v>50000</v>
      </c>
      <c r="O155" s="17">
        <f>IF(G155=88888,N155,0)</f>
        <v>0</v>
      </c>
      <c r="P155" s="17">
        <f t="shared" si="9"/>
        <v>0</v>
      </c>
      <c r="Q155" s="17">
        <f>K155</f>
        <v>50000</v>
      </c>
      <c r="R155" s="17">
        <f t="shared" si="10"/>
        <v>50000</v>
      </c>
    </row>
    <row r="156" spans="1:18" ht="12.75" customHeight="1">
      <c r="A156" s="15"/>
      <c r="B156" s="15"/>
      <c r="C156" s="15"/>
      <c r="D156" s="15"/>
      <c r="E156" s="41" t="s">
        <v>127</v>
      </c>
      <c r="F156" s="41" t="s">
        <v>187</v>
      </c>
      <c r="G156" s="16">
        <v>88888</v>
      </c>
      <c r="H156" s="17">
        <v>1584850</v>
      </c>
      <c r="I156" s="17">
        <v>34328.02</v>
      </c>
      <c r="J156" s="17">
        <f t="shared" si="7"/>
        <v>1550521.98</v>
      </c>
      <c r="K156" s="17">
        <f t="shared" si="12"/>
        <v>1550521.98</v>
      </c>
      <c r="L156" s="17"/>
      <c r="M156" s="17"/>
      <c r="N156" s="17">
        <f t="shared" si="11"/>
        <v>1550521.98</v>
      </c>
      <c r="O156" s="17">
        <f t="shared" si="8"/>
        <v>1550521.98</v>
      </c>
      <c r="P156" s="17">
        <f t="shared" si="9"/>
        <v>0</v>
      </c>
      <c r="Q156" s="17"/>
      <c r="R156" s="17">
        <f t="shared" si="10"/>
        <v>1550521.98</v>
      </c>
    </row>
    <row r="157" spans="1:18" ht="12.75" customHeight="1">
      <c r="A157" s="15"/>
      <c r="B157" s="15"/>
      <c r="C157" s="15"/>
      <c r="D157" s="15"/>
      <c r="E157" s="41" t="s">
        <v>234</v>
      </c>
      <c r="F157" s="41" t="s">
        <v>246</v>
      </c>
      <c r="G157" s="16">
        <v>88888</v>
      </c>
      <c r="H157" s="17">
        <v>877000</v>
      </c>
      <c r="I157" s="17">
        <v>855700.33</v>
      </c>
      <c r="J157" s="17">
        <f t="shared" si="7"/>
        <v>21299.670000000042</v>
      </c>
      <c r="K157" s="17">
        <f t="shared" si="12"/>
        <v>21299.670000000042</v>
      </c>
      <c r="L157" s="17"/>
      <c r="M157" s="17"/>
      <c r="N157" s="17">
        <f t="shared" si="11"/>
        <v>21299.670000000042</v>
      </c>
      <c r="O157" s="17">
        <f t="shared" si="8"/>
        <v>21299.670000000042</v>
      </c>
      <c r="P157" s="17">
        <f t="shared" si="9"/>
        <v>0</v>
      </c>
      <c r="Q157" s="17"/>
      <c r="R157" s="17">
        <f t="shared" si="10"/>
        <v>21299.670000000042</v>
      </c>
    </row>
    <row r="158" spans="1:18" ht="12.75" customHeight="1">
      <c r="A158" s="15"/>
      <c r="B158" s="15"/>
      <c r="C158" s="15"/>
      <c r="D158" s="15"/>
      <c r="E158" s="41" t="s">
        <v>247</v>
      </c>
      <c r="F158" s="41" t="s">
        <v>248</v>
      </c>
      <c r="G158" s="16">
        <v>88888</v>
      </c>
      <c r="H158" s="17">
        <v>0</v>
      </c>
      <c r="I158" s="17">
        <v>0</v>
      </c>
      <c r="J158" s="17">
        <f t="shared" si="7"/>
        <v>0</v>
      </c>
      <c r="K158" s="17">
        <f t="shared" si="12"/>
        <v>0</v>
      </c>
      <c r="L158" s="17"/>
      <c r="M158" s="17"/>
      <c r="N158" s="17">
        <f t="shared" si="11"/>
        <v>0</v>
      </c>
      <c r="O158" s="17">
        <f t="shared" si="8"/>
        <v>0</v>
      </c>
      <c r="P158" s="17">
        <f t="shared" si="9"/>
        <v>0</v>
      </c>
      <c r="Q158" s="17"/>
      <c r="R158" s="17">
        <f t="shared" si="10"/>
        <v>0</v>
      </c>
    </row>
    <row r="159" spans="1:18" ht="12.75" customHeight="1">
      <c r="A159" s="15"/>
      <c r="B159" s="15"/>
      <c r="C159" s="15"/>
      <c r="D159" s="15"/>
      <c r="E159" s="41" t="s">
        <v>235</v>
      </c>
      <c r="F159" s="41" t="s">
        <v>236</v>
      </c>
      <c r="G159" s="16">
        <v>88888</v>
      </c>
      <c r="H159" s="17">
        <f>148200-H160</f>
        <v>23200</v>
      </c>
      <c r="I159" s="17">
        <f>18201.21-I160</f>
        <v>6380.209999999999</v>
      </c>
      <c r="J159" s="17">
        <f t="shared" si="7"/>
        <v>16819.79</v>
      </c>
      <c r="K159" s="17">
        <f t="shared" si="12"/>
        <v>16819.79</v>
      </c>
      <c r="L159" s="17"/>
      <c r="M159" s="17"/>
      <c r="N159" s="17">
        <f t="shared" si="11"/>
        <v>16819.79</v>
      </c>
      <c r="O159" s="17">
        <f t="shared" si="8"/>
        <v>16819.79</v>
      </c>
      <c r="P159" s="17">
        <f t="shared" si="9"/>
        <v>0</v>
      </c>
      <c r="Q159" s="17"/>
      <c r="R159" s="17">
        <f t="shared" si="10"/>
        <v>16819.79</v>
      </c>
    </row>
    <row r="160" spans="1:18" ht="12.75" customHeight="1">
      <c r="A160" s="15"/>
      <c r="B160" s="15"/>
      <c r="C160" s="15"/>
      <c r="D160" s="15"/>
      <c r="E160" s="41" t="s">
        <v>235</v>
      </c>
      <c r="F160" s="41" t="s">
        <v>236</v>
      </c>
      <c r="G160" s="16">
        <v>33381</v>
      </c>
      <c r="H160" s="17">
        <v>125000</v>
      </c>
      <c r="I160" s="17">
        <v>11821</v>
      </c>
      <c r="J160" s="17">
        <f>H160-I160</f>
        <v>113179</v>
      </c>
      <c r="K160" s="17">
        <f t="shared" si="12"/>
        <v>113179</v>
      </c>
      <c r="L160" s="17"/>
      <c r="M160" s="17"/>
      <c r="N160" s="17">
        <f>SUM(K160:M160)</f>
        <v>113179</v>
      </c>
      <c r="O160" s="17">
        <f>IF(G160=88888,N160,0)</f>
        <v>0</v>
      </c>
      <c r="P160" s="17">
        <f t="shared" si="9"/>
        <v>113179</v>
      </c>
      <c r="Q160" s="17"/>
      <c r="R160" s="17">
        <f t="shared" si="10"/>
        <v>113179</v>
      </c>
    </row>
    <row r="161" spans="1:18" ht="12.75" customHeight="1">
      <c r="A161" s="15"/>
      <c r="B161" s="15"/>
      <c r="C161" s="15"/>
      <c r="D161" s="15"/>
      <c r="E161" s="41" t="s">
        <v>237</v>
      </c>
      <c r="F161" s="41" t="s">
        <v>249</v>
      </c>
      <c r="G161" s="16">
        <v>88888</v>
      </c>
      <c r="H161" s="17">
        <v>125000</v>
      </c>
      <c r="I161" s="17">
        <v>6986.44</v>
      </c>
      <c r="J161" s="17">
        <f t="shared" si="7"/>
        <v>118013.56</v>
      </c>
      <c r="K161" s="17">
        <f t="shared" si="12"/>
        <v>118013.56</v>
      </c>
      <c r="L161" s="17"/>
      <c r="M161" s="17"/>
      <c r="N161" s="17">
        <f t="shared" si="11"/>
        <v>118013.56</v>
      </c>
      <c r="O161" s="17">
        <f t="shared" si="8"/>
        <v>118013.56</v>
      </c>
      <c r="P161" s="17">
        <f t="shared" si="9"/>
        <v>0</v>
      </c>
      <c r="Q161" s="17"/>
      <c r="R161" s="17">
        <f t="shared" si="10"/>
        <v>118013.56</v>
      </c>
    </row>
    <row r="162" spans="1:18" ht="12.75" customHeight="1">
      <c r="A162" s="15"/>
      <c r="B162" s="15"/>
      <c r="C162" s="15"/>
      <c r="D162" s="15"/>
      <c r="E162" s="41" t="s">
        <v>238</v>
      </c>
      <c r="F162" s="41" t="s">
        <v>250</v>
      </c>
      <c r="G162" s="16">
        <v>88888</v>
      </c>
      <c r="H162" s="17">
        <v>200000</v>
      </c>
      <c r="I162" s="17">
        <v>43205.35</v>
      </c>
      <c r="J162" s="17">
        <f t="shared" si="7"/>
        <v>156794.65</v>
      </c>
      <c r="K162" s="17">
        <f t="shared" si="12"/>
        <v>156794.65</v>
      </c>
      <c r="L162" s="17"/>
      <c r="M162" s="17"/>
      <c r="N162" s="17">
        <f t="shared" si="11"/>
        <v>156794.65</v>
      </c>
      <c r="O162" s="17">
        <f t="shared" si="8"/>
        <v>156794.65</v>
      </c>
      <c r="P162" s="17">
        <f t="shared" si="9"/>
        <v>0</v>
      </c>
      <c r="Q162" s="17"/>
      <c r="R162" s="17">
        <f t="shared" si="10"/>
        <v>156794.65</v>
      </c>
    </row>
    <row r="163" spans="1:18" ht="12.75" customHeight="1">
      <c r="A163" s="15"/>
      <c r="B163" s="15"/>
      <c r="C163" s="15"/>
      <c r="D163" s="15"/>
      <c r="E163" s="41" t="s">
        <v>251</v>
      </c>
      <c r="F163" s="41" t="s">
        <v>252</v>
      </c>
      <c r="G163" s="16">
        <v>88888</v>
      </c>
      <c r="H163" s="17">
        <v>0</v>
      </c>
      <c r="I163" s="17">
        <v>0</v>
      </c>
      <c r="J163" s="17">
        <f t="shared" si="7"/>
        <v>0</v>
      </c>
      <c r="K163" s="17">
        <f t="shared" si="12"/>
        <v>0</v>
      </c>
      <c r="L163" s="17"/>
      <c r="M163" s="17"/>
      <c r="N163" s="17">
        <f t="shared" si="11"/>
        <v>0</v>
      </c>
      <c r="O163" s="17">
        <f t="shared" si="8"/>
        <v>0</v>
      </c>
      <c r="P163" s="17">
        <f t="shared" si="9"/>
        <v>0</v>
      </c>
      <c r="Q163" s="17"/>
      <c r="R163" s="17">
        <f t="shared" si="10"/>
        <v>0</v>
      </c>
    </row>
    <row r="164" spans="1:18" ht="12.75" customHeight="1">
      <c r="A164" s="15"/>
      <c r="B164" s="15"/>
      <c r="C164" s="15"/>
      <c r="D164" s="15"/>
      <c r="E164" s="41" t="s">
        <v>253</v>
      </c>
      <c r="F164" s="41" t="s">
        <v>254</v>
      </c>
      <c r="G164" s="16">
        <v>88888</v>
      </c>
      <c r="H164" s="17">
        <v>0</v>
      </c>
      <c r="I164" s="17">
        <v>0</v>
      </c>
      <c r="J164" s="17">
        <f t="shared" si="7"/>
        <v>0</v>
      </c>
      <c r="K164" s="17">
        <f t="shared" si="12"/>
        <v>0</v>
      </c>
      <c r="L164" s="17"/>
      <c r="M164" s="17"/>
      <c r="N164" s="17">
        <f t="shared" si="11"/>
        <v>0</v>
      </c>
      <c r="O164" s="17">
        <f t="shared" si="8"/>
        <v>0</v>
      </c>
      <c r="P164" s="17">
        <f t="shared" si="9"/>
        <v>0</v>
      </c>
      <c r="Q164" s="17"/>
      <c r="R164" s="17">
        <f t="shared" si="10"/>
        <v>0</v>
      </c>
    </row>
    <row r="165" spans="1:18" ht="12.75" customHeight="1">
      <c r="A165" s="15"/>
      <c r="B165" s="15"/>
      <c r="C165" s="15"/>
      <c r="D165" s="15"/>
      <c r="E165" s="41" t="s">
        <v>255</v>
      </c>
      <c r="F165" s="41" t="s">
        <v>256</v>
      </c>
      <c r="G165" s="16">
        <v>88888</v>
      </c>
      <c r="H165" s="17">
        <v>0</v>
      </c>
      <c r="I165" s="17">
        <v>0</v>
      </c>
      <c r="J165" s="17">
        <f t="shared" si="7"/>
        <v>0</v>
      </c>
      <c r="K165" s="17">
        <f t="shared" si="12"/>
        <v>0</v>
      </c>
      <c r="L165" s="17"/>
      <c r="M165" s="17"/>
      <c r="N165" s="17">
        <f t="shared" si="11"/>
        <v>0</v>
      </c>
      <c r="O165" s="17">
        <f t="shared" si="8"/>
        <v>0</v>
      </c>
      <c r="P165" s="17">
        <f t="shared" si="9"/>
        <v>0</v>
      </c>
      <c r="Q165" s="17"/>
      <c r="R165" s="17">
        <f t="shared" si="10"/>
        <v>0</v>
      </c>
    </row>
    <row r="166" spans="1:18" ht="12.75" customHeight="1">
      <c r="A166" s="15"/>
      <c r="B166" s="15"/>
      <c r="C166" s="15"/>
      <c r="D166" s="15"/>
      <c r="E166" s="41" t="s">
        <v>257</v>
      </c>
      <c r="F166" s="41" t="s">
        <v>258</v>
      </c>
      <c r="G166" s="16">
        <v>88888</v>
      </c>
      <c r="H166" s="17">
        <v>0</v>
      </c>
      <c r="I166" s="17">
        <v>0</v>
      </c>
      <c r="J166" s="17">
        <f t="shared" si="7"/>
        <v>0</v>
      </c>
      <c r="K166" s="17">
        <f t="shared" si="12"/>
        <v>0</v>
      </c>
      <c r="L166" s="17"/>
      <c r="M166" s="17"/>
      <c r="N166" s="17">
        <f t="shared" si="11"/>
        <v>0</v>
      </c>
      <c r="O166" s="17">
        <f t="shared" si="8"/>
        <v>0</v>
      </c>
      <c r="P166" s="17">
        <f t="shared" si="9"/>
        <v>0</v>
      </c>
      <c r="Q166" s="17"/>
      <c r="R166" s="17">
        <f t="shared" si="10"/>
        <v>0</v>
      </c>
    </row>
    <row r="167" spans="1:18" ht="12.75" customHeight="1">
      <c r="A167" s="15"/>
      <c r="B167" s="15"/>
      <c r="C167" s="15"/>
      <c r="D167" s="15"/>
      <c r="E167" s="41" t="s">
        <v>259</v>
      </c>
      <c r="F167" s="41" t="s">
        <v>241</v>
      </c>
      <c r="G167" s="16">
        <v>88888</v>
      </c>
      <c r="H167" s="17">
        <v>0</v>
      </c>
      <c r="I167" s="17">
        <v>1495.57</v>
      </c>
      <c r="J167" s="17">
        <f t="shared" si="7"/>
        <v>-1495.57</v>
      </c>
      <c r="K167" s="17">
        <f t="shared" si="12"/>
        <v>-1495.57</v>
      </c>
      <c r="L167" s="17"/>
      <c r="M167" s="17"/>
      <c r="N167" s="17">
        <f t="shared" si="11"/>
        <v>-1495.57</v>
      </c>
      <c r="O167" s="17">
        <f t="shared" si="8"/>
        <v>-1495.57</v>
      </c>
      <c r="P167" s="17">
        <f t="shared" si="9"/>
        <v>0</v>
      </c>
      <c r="Q167" s="17"/>
      <c r="R167" s="17">
        <f t="shared" si="10"/>
        <v>-1495.57</v>
      </c>
    </row>
    <row r="168" spans="1:18" ht="12.75" customHeight="1">
      <c r="A168" s="15"/>
      <c r="B168" s="15"/>
      <c r="C168" s="15"/>
      <c r="D168" s="15"/>
      <c r="E168" s="41" t="s">
        <v>128</v>
      </c>
      <c r="F168" s="41" t="s">
        <v>145</v>
      </c>
      <c r="G168" s="16">
        <v>88888</v>
      </c>
      <c r="H168" s="17">
        <v>242006</v>
      </c>
      <c r="I168" s="17">
        <v>0</v>
      </c>
      <c r="J168" s="17">
        <f t="shared" si="7"/>
        <v>242006</v>
      </c>
      <c r="K168" s="17">
        <f t="shared" si="12"/>
        <v>242006</v>
      </c>
      <c r="L168" s="17"/>
      <c r="M168" s="17"/>
      <c r="N168" s="17">
        <f t="shared" si="11"/>
        <v>242006</v>
      </c>
      <c r="O168" s="17">
        <f t="shared" si="8"/>
        <v>242006</v>
      </c>
      <c r="P168" s="17">
        <f t="shared" si="9"/>
        <v>0</v>
      </c>
      <c r="Q168" s="17"/>
      <c r="R168" s="17">
        <f t="shared" si="10"/>
        <v>242006</v>
      </c>
    </row>
    <row r="169" spans="4:18" ht="12.75" customHeight="1" thickBot="1">
      <c r="D169" s="8"/>
      <c r="E169" s="8"/>
      <c r="F169" s="8" t="s">
        <v>14</v>
      </c>
      <c r="G169" s="18"/>
      <c r="H169" s="9">
        <v>495266937</v>
      </c>
      <c r="I169" s="9">
        <v>113437973.84000002</v>
      </c>
      <c r="J169" s="9">
        <f>SUM(J9:J168)</f>
        <v>381828963.16</v>
      </c>
      <c r="K169" s="9">
        <f>SUM(K9:K168)</f>
        <v>381829107.16</v>
      </c>
      <c r="L169" s="9"/>
      <c r="M169" s="9">
        <v>0</v>
      </c>
      <c r="N169" s="9">
        <f>SUM(N9:N168)</f>
        <v>381835034.53</v>
      </c>
      <c r="O169" s="9">
        <f>SUM(O9:O168)</f>
        <v>338821128.53000003</v>
      </c>
      <c r="P169" s="9">
        <f>SUM(P9:P168)</f>
        <v>24625164</v>
      </c>
      <c r="Q169" s="9">
        <f>SUM(Q9:Q168)</f>
        <v>18388742</v>
      </c>
      <c r="R169" s="52">
        <f>SUM(O169:Q169)</f>
        <v>381835034.53000003</v>
      </c>
    </row>
    <row r="170" ht="12.75" customHeight="1" thickTop="1"/>
    <row r="171" spans="6:11" ht="12.75" customHeight="1">
      <c r="F171" s="1" t="s">
        <v>230</v>
      </c>
      <c r="H171" s="3">
        <v>495266937</v>
      </c>
      <c r="I171" s="3">
        <v>113437973.84000005</v>
      </c>
      <c r="K171" s="3">
        <v>381828963.1600001</v>
      </c>
    </row>
    <row r="172" spans="11:18" ht="12.75" customHeight="1">
      <c r="K172" s="3" t="s">
        <v>32</v>
      </c>
      <c r="R172" s="3">
        <f>N169-R169</f>
        <v>0</v>
      </c>
    </row>
    <row r="173" spans="8:9" ht="12.75" customHeight="1">
      <c r="H173" s="3" t="s">
        <v>228</v>
      </c>
      <c r="I173" s="49" t="s">
        <v>229</v>
      </c>
    </row>
    <row r="174" ht="12.75" customHeight="1">
      <c r="J174" s="3" t="s">
        <v>32</v>
      </c>
    </row>
    <row r="175" ht="12.75" customHeight="1"/>
    <row r="176" spans="8:15" ht="12.75" customHeight="1">
      <c r="H176" s="3">
        <f>H169-H171</f>
        <v>0</v>
      </c>
      <c r="I176" s="3">
        <f>I169-I171</f>
        <v>0</v>
      </c>
      <c r="J176" s="3">
        <f>J169-J171</f>
        <v>381828963.16</v>
      </c>
      <c r="K176" s="3">
        <f>K169-K171</f>
        <v>143.99999994039536</v>
      </c>
      <c r="O176" s="3">
        <f>N169-O173</f>
        <v>381835034.53</v>
      </c>
    </row>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sheetData>
  <printOptions gridLines="1"/>
  <pageMargins left="0.24" right="0.27" top="0.33" bottom="0.4" header="0.28" footer="0.24"/>
  <pageSetup fitToHeight="5" orientation="landscape" paperSize="5" scale="85" r:id="rId3"/>
  <headerFooter alignWithMargins="0">
    <oddFooter>&amp;L&amp;7&amp;T &amp;D&amp;R&amp;7&amp;A &amp;F</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zoomScale="75" zoomScaleNormal="75" workbookViewId="0" topLeftCell="A1">
      <selection activeCell="D28" sqref="D28"/>
    </sheetView>
  </sheetViews>
  <sheetFormatPr defaultColWidth="9.140625" defaultRowHeight="12.75"/>
  <cols>
    <col min="1" max="1" width="43.57421875" style="116" customWidth="1"/>
    <col min="2" max="2" width="12.7109375" style="117" hidden="1" customWidth="1"/>
    <col min="3" max="3" width="12.7109375" style="117" customWidth="1"/>
    <col min="4" max="5" width="12.7109375" style="118" customWidth="1"/>
    <col min="6" max="11" width="12.7109375" style="87" customWidth="1"/>
    <col min="12" max="12" width="13.421875" style="70" customWidth="1"/>
    <col min="13" max="13" width="10.8515625" style="70" customWidth="1"/>
    <col min="14" max="16384" width="8.8515625" style="70" customWidth="1"/>
  </cols>
  <sheetData>
    <row r="1" spans="1:11" s="59" customFormat="1" ht="15.75">
      <c r="A1" s="56" t="s">
        <v>276</v>
      </c>
      <c r="B1" s="57"/>
      <c r="C1" s="57"/>
      <c r="D1" s="58"/>
      <c r="E1" s="57"/>
      <c r="F1" s="57"/>
      <c r="G1" s="57"/>
      <c r="H1" s="57"/>
      <c r="I1" s="57"/>
      <c r="J1" s="57"/>
      <c r="K1" s="57"/>
    </row>
    <row r="2" spans="1:11" s="63" customFormat="1" ht="18.75">
      <c r="A2" s="60" t="s">
        <v>277</v>
      </c>
      <c r="B2" s="61"/>
      <c r="C2" s="61"/>
      <c r="D2" s="62"/>
      <c r="E2" s="61"/>
      <c r="F2" s="61"/>
      <c r="G2" s="61"/>
      <c r="H2" s="61"/>
      <c r="I2" s="61"/>
      <c r="J2" s="61"/>
      <c r="K2" s="61"/>
    </row>
    <row r="3" spans="1:11" s="67" customFormat="1" ht="18.75">
      <c r="A3" s="64" t="s">
        <v>278</v>
      </c>
      <c r="B3" s="65"/>
      <c r="C3" s="65"/>
      <c r="D3" s="66"/>
      <c r="E3" s="65"/>
      <c r="F3" s="65"/>
      <c r="G3" s="65"/>
      <c r="H3" s="65"/>
      <c r="I3" s="65"/>
      <c r="J3" s="65"/>
      <c r="K3" s="65"/>
    </row>
    <row r="4" spans="1:11" s="59" customFormat="1" ht="15.75">
      <c r="A4" s="56" t="s">
        <v>279</v>
      </c>
      <c r="B4" s="57"/>
      <c r="C4" s="57"/>
      <c r="D4" s="58"/>
      <c r="E4" s="57"/>
      <c r="F4" s="57"/>
      <c r="G4" s="57"/>
      <c r="H4" s="57"/>
      <c r="I4" s="57"/>
      <c r="J4" s="57"/>
      <c r="K4" s="57"/>
    </row>
    <row r="5" spans="1:11" ht="15.75">
      <c r="A5" s="68" t="s">
        <v>280</v>
      </c>
      <c r="B5" s="69"/>
      <c r="C5" s="69"/>
      <c r="D5" s="69"/>
      <c r="E5" s="69"/>
      <c r="F5" s="69"/>
      <c r="G5" s="69"/>
      <c r="H5" s="69"/>
      <c r="I5" s="69"/>
      <c r="J5" s="69"/>
      <c r="K5" s="69"/>
    </row>
    <row r="6" spans="1:12" s="73" customFormat="1" ht="31.5">
      <c r="A6" s="71" t="s">
        <v>281</v>
      </c>
      <c r="B6" s="72" t="s">
        <v>282</v>
      </c>
      <c r="C6" s="72" t="s">
        <v>283</v>
      </c>
      <c r="D6" s="72" t="s">
        <v>284</v>
      </c>
      <c r="E6" s="72" t="s">
        <v>285</v>
      </c>
      <c r="F6" s="72" t="s">
        <v>286</v>
      </c>
      <c r="G6" s="72" t="s">
        <v>287</v>
      </c>
      <c r="H6" s="72" t="s">
        <v>288</v>
      </c>
      <c r="I6" s="72" t="s">
        <v>289</v>
      </c>
      <c r="J6" s="72" t="s">
        <v>290</v>
      </c>
      <c r="K6" s="72" t="s">
        <v>291</v>
      </c>
      <c r="L6" s="72" t="s">
        <v>292</v>
      </c>
    </row>
    <row r="7" spans="1:12" ht="15.75">
      <c r="A7" s="74" t="s">
        <v>293</v>
      </c>
      <c r="B7" s="75"/>
      <c r="C7" s="75">
        <f>+'[1]Data -CF05P003'!C8+'[1]Data -CF05P003'!C9+'[1]Data -CF05P003'!C10+'[1]Data -CF05P003'!C11+'[1]Data -CF05P003'!C12</f>
        <v>301176.47130122787</v>
      </c>
      <c r="D7" s="75">
        <f>+'[1]Data -CF05P003'!D8+'[1]Data -CF05P003'!D9+'[1]Data -CF05P003'!D10+'[1]Data -CF05P003'!D11+'[1]Data -CF05P003'!D12</f>
        <v>256276.4373219892</v>
      </c>
      <c r="E7" s="75">
        <f>+'[1]Data -CF05P003'!E8+'[1]Data -CF05P003'!E9+'[1]Data -CF05P003'!E10+'[1]Data -CF05P003'!E11+'[1]Data -CF05P003'!E12</f>
        <v>247782.76196093403</v>
      </c>
      <c r="F7" s="75">
        <f>+'[1]Data -CF05P003'!F8+'[1]Data -CF05P003'!F9+'[1]Data -CF05P003'!F10+'[1]Data -CF05P003'!F11+'[1]Data -CF05P003'!F12</f>
        <v>261562.99059334327</v>
      </c>
      <c r="G7" s="75">
        <f>+'[1]Data -CF05P003'!G8+'[1]Data -CF05P003'!G9+'[1]Data -CF05P003'!G10+'[1]Data -CF05P003'!G11+'[1]Data -CF05P003'!G12</f>
        <v>118388.53042739935</v>
      </c>
      <c r="H7" s="75">
        <f>+'[1]Data -CF05P003'!H8+'[1]Data -CF05P003'!H9+'[1]Data -CF05P003'!H10+'[1]Data -CF05P003'!H11+'[1]Data -CF05P003'!H12</f>
        <v>93471.14933009865</v>
      </c>
      <c r="I7" s="75">
        <f>+'[1]Data -CF05P003'!I8+'[1]Data -CF05P003'!I9+'[1]Data -CF05P003'!I10+'[1]Data -CF05P003'!I11+'[1]Data -CF05P003'!I12</f>
        <v>88224.39394014077</v>
      </c>
      <c r="J7" s="75">
        <f>+'[1]Data -CF05P003'!J8+'[1]Data -CF05P003'!J9+'[1]Data -CF05P003'!J10+'[1]Data -CF05P003'!J11+'[1]Data -CF05P003'!J12</f>
        <v>109019.5906406309</v>
      </c>
      <c r="K7" s="75">
        <f>+'[1]Data -CF05P003'!K8+'[1]Data -CF05P003'!K9+'[1]Data -CF05P003'!K10+'[1]Data -CF05P003'!K11+'[1]Data -CF05P003'!K12</f>
        <v>132960.98605607002</v>
      </c>
      <c r="L7" s="75">
        <f>+E7</f>
        <v>247782.76196093403</v>
      </c>
    </row>
    <row r="8" spans="1:12" ht="15.75">
      <c r="A8" s="76" t="s">
        <v>294</v>
      </c>
      <c r="B8" s="77"/>
      <c r="C8" s="77"/>
      <c r="D8" s="77"/>
      <c r="E8" s="77"/>
      <c r="F8" s="77"/>
      <c r="G8" s="77"/>
      <c r="H8" s="77"/>
      <c r="I8" s="77"/>
      <c r="J8" s="77"/>
      <c r="K8" s="77"/>
      <c r="L8" s="77"/>
    </row>
    <row r="9" spans="1:12" ht="15.75">
      <c r="A9" s="78" t="s">
        <v>295</v>
      </c>
      <c r="B9" s="79"/>
      <c r="C9" s="79">
        <f>+'[1]Data -CF05P003'!C15</f>
        <v>67862.26563</v>
      </c>
      <c r="D9" s="79">
        <f>+'[1]Data -CF05P003'!D15</f>
        <v>71156.774</v>
      </c>
      <c r="E9" s="79">
        <f>+'[1]Data -CF05P003'!E15</f>
        <v>71060.7112</v>
      </c>
      <c r="F9" s="79">
        <f>+'[1]Data -CF05P003'!F15</f>
        <v>71912.8812</v>
      </c>
      <c r="G9" s="79">
        <f>+'[1]Data -CF05P003'!G15</f>
        <v>72847.1694</v>
      </c>
      <c r="H9" s="79">
        <f>+'[1]Data -CF05P003'!H15</f>
        <v>78845.97126</v>
      </c>
      <c r="I9" s="79">
        <f>+'[1]Data -CF05P003'!I15</f>
        <v>87746.05182</v>
      </c>
      <c r="J9" s="79">
        <f>+'[1]Data -CF05P003'!J15</f>
        <v>88862.74452</v>
      </c>
      <c r="K9" s="79">
        <f>+'[1]Data -CF05P003'!K15</f>
        <v>89784.67582</v>
      </c>
      <c r="L9" s="79">
        <f aca="true" t="shared" si="0" ref="L9:L19">SUM(E9:J9)</f>
        <v>471275.52940000006</v>
      </c>
    </row>
    <row r="10" spans="1:12" ht="15.75">
      <c r="A10" s="78" t="s">
        <v>296</v>
      </c>
      <c r="B10" s="79"/>
      <c r="C10" s="79">
        <f>+'[1]Data -CF05P003'!C16</f>
        <v>10402.470080000001</v>
      </c>
      <c r="D10" s="79">
        <f>+'[1]Data -CF05P003'!D16</f>
        <v>11302.347153123845</v>
      </c>
      <c r="E10" s="79">
        <f>+'[1]Data -CF05P003'!E16</f>
        <v>11405.313781438246</v>
      </c>
      <c r="F10" s="79">
        <f>+'[1]Data -CF05P003'!F16</f>
        <v>13081.922050596566</v>
      </c>
      <c r="G10" s="79">
        <f>+'[1]Data -CF05P003'!G16</f>
        <v>13967.561830923763</v>
      </c>
      <c r="H10" s="79">
        <f>+'[1]Data -CF05P003'!H16</f>
        <v>12377.117307708835</v>
      </c>
      <c r="I10" s="79">
        <f>+'[1]Data -CF05P003'!I16</f>
        <v>13216.674538583964</v>
      </c>
      <c r="J10" s="79">
        <f>+'[1]Data -CF05P003'!J16</f>
        <v>13553.549326105473</v>
      </c>
      <c r="K10" s="79">
        <f>+'[1]Data -CF05P003'!K16</f>
        <v>14245.25932680208</v>
      </c>
      <c r="L10" s="79">
        <f t="shared" si="0"/>
        <v>77602.13883535683</v>
      </c>
    </row>
    <row r="11" spans="1:12" ht="15.75">
      <c r="A11" s="78" t="s">
        <v>297</v>
      </c>
      <c r="B11" s="79"/>
      <c r="C11" s="79">
        <f>+'[1]Data -CF05P003'!C17</f>
        <v>298752.50105333334</v>
      </c>
      <c r="D11" s="79">
        <f>+'[1]Data -CF05P003'!D17</f>
        <v>308041.442407122</v>
      </c>
      <c r="E11" s="79">
        <f>+'[1]Data -CF05P003'!E17</f>
        <v>308790.5850887254</v>
      </c>
      <c r="F11" s="79">
        <f>+'[1]Data -CF05P003'!F17</f>
        <v>323983.08187509066</v>
      </c>
      <c r="G11" s="79">
        <f>+'[1]Data -CF05P003'!G17</f>
        <v>344394.0160332214</v>
      </c>
      <c r="H11" s="79">
        <f>+'[1]Data -CF05P003'!H17</f>
        <v>366986.2634850008</v>
      </c>
      <c r="I11" s="79">
        <f>+'[1]Data -CF05P003'!I17</f>
        <v>389629.31594202534</v>
      </c>
      <c r="J11" s="79">
        <f>+'[1]Data -CF05P003'!J17</f>
        <v>410006.9291657933</v>
      </c>
      <c r="K11" s="79">
        <f>+'[1]Data -CF05P003'!K17</f>
        <v>428662.2444428369</v>
      </c>
      <c r="L11" s="79">
        <f t="shared" si="0"/>
        <v>2143790.1915898565</v>
      </c>
    </row>
    <row r="12" spans="1:12" ht="15.75" hidden="1">
      <c r="A12" s="78" t="s">
        <v>298</v>
      </c>
      <c r="B12" s="79"/>
      <c r="C12" s="79">
        <f>+'[1]Data -CF05P003'!C18</f>
        <v>0</v>
      </c>
      <c r="D12" s="79">
        <f>+'[1]Data -CF05P003'!D18</f>
        <v>0</v>
      </c>
      <c r="E12" s="79">
        <f>+'[1]Data -CF05P003'!E18</f>
        <v>0</v>
      </c>
      <c r="F12" s="79">
        <f>+'[1]Data -CF05P003'!F18</f>
        <v>0</v>
      </c>
      <c r="G12" s="79">
        <f>+'[1]Data -CF05P003'!G18</f>
        <v>0</v>
      </c>
      <c r="H12" s="79">
        <f>+'[1]Data -CF05P003'!H18</f>
        <v>0</v>
      </c>
      <c r="I12" s="79">
        <f>+'[1]Data -CF05P003'!I18</f>
        <v>0</v>
      </c>
      <c r="J12" s="79">
        <f>+'[1]Data -CF05P003'!J18</f>
        <v>0</v>
      </c>
      <c r="K12" s="79">
        <f>+'[1]Data -CF05P003'!K18</f>
        <v>0</v>
      </c>
      <c r="L12" s="79">
        <f t="shared" si="0"/>
        <v>0</v>
      </c>
    </row>
    <row r="13" spans="1:12" ht="15.75" hidden="1">
      <c r="A13" s="78" t="s">
        <v>299</v>
      </c>
      <c r="B13" s="79"/>
      <c r="C13" s="79">
        <f>+'[1]Data -CF05P003'!C19</f>
        <v>0</v>
      </c>
      <c r="D13" s="79">
        <f>+'[1]Data -CF05P003'!D19</f>
        <v>0</v>
      </c>
      <c r="E13" s="79">
        <f>+'[1]Data -CF05P003'!E19</f>
        <v>0</v>
      </c>
      <c r="F13" s="79">
        <f>+'[1]Data -CF05P003'!F19</f>
        <v>0</v>
      </c>
      <c r="G13" s="79">
        <f>+'[1]Data -CF05P003'!G19</f>
        <v>0</v>
      </c>
      <c r="H13" s="79">
        <f>+'[1]Data -CF05P003'!H19</f>
        <v>0</v>
      </c>
      <c r="I13" s="79">
        <f>+'[1]Data -CF05P003'!I19</f>
        <v>0</v>
      </c>
      <c r="J13" s="79">
        <f>+'[1]Data -CF05P003'!J19</f>
        <v>0</v>
      </c>
      <c r="K13" s="79">
        <f>+'[1]Data -CF05P003'!K19</f>
        <v>0</v>
      </c>
      <c r="L13" s="79">
        <f t="shared" si="0"/>
        <v>0</v>
      </c>
    </row>
    <row r="14" spans="1:12" ht="15.75" hidden="1">
      <c r="A14" s="78" t="s">
        <v>300</v>
      </c>
      <c r="B14" s="79"/>
      <c r="C14" s="79">
        <f>+'[1]Data -CF05P003'!C20</f>
        <v>0</v>
      </c>
      <c r="D14" s="79">
        <f>+'[1]Data -CF05P003'!D20</f>
        <v>0</v>
      </c>
      <c r="E14" s="79">
        <f>+'[1]Data -CF05P003'!E20</f>
        <v>0</v>
      </c>
      <c r="F14" s="79">
        <f>+'[1]Data -CF05P003'!F20</f>
        <v>0</v>
      </c>
      <c r="G14" s="79">
        <f>+'[1]Data -CF05P003'!G20</f>
        <v>0</v>
      </c>
      <c r="H14" s="79">
        <f>+'[1]Data -CF05P003'!H20</f>
        <v>0</v>
      </c>
      <c r="I14" s="79">
        <f>+'[1]Data -CF05P003'!I20</f>
        <v>0</v>
      </c>
      <c r="J14" s="79">
        <f>+'[1]Data -CF05P003'!J20</f>
        <v>0</v>
      </c>
      <c r="K14" s="79">
        <f>+'[1]Data -CF05P003'!K20</f>
        <v>0</v>
      </c>
      <c r="L14" s="79">
        <f t="shared" si="0"/>
        <v>0</v>
      </c>
    </row>
    <row r="15" spans="1:12" ht="15.75">
      <c r="A15" s="78" t="s">
        <v>301</v>
      </c>
      <c r="B15" s="79"/>
      <c r="C15" s="79">
        <f>+'[1]Data -CF05P003'!C21</f>
        <v>9156.6262</v>
      </c>
      <c r="D15" s="79">
        <f>+'[1]Data -CF05P003'!D21</f>
        <v>5610.0688518915085</v>
      </c>
      <c r="E15" s="79">
        <f>+'[1]Data -CF05P003'!E21</f>
        <v>5718.991092049297</v>
      </c>
      <c r="F15" s="79">
        <f>+'[1]Data -CF05P003'!F21</f>
        <v>7187.12160642717</v>
      </c>
      <c r="G15" s="79">
        <f>+'[1]Data -CF05P003'!G21</f>
        <v>3736.4307070094583</v>
      </c>
      <c r="H15" s="79">
        <f>+'[1]Data -CF05P003'!H21</f>
        <v>3796.1495313575374</v>
      </c>
      <c r="I15" s="79">
        <f>+'[1]Data -CF05P003'!I21</f>
        <v>4149.698546138079</v>
      </c>
      <c r="J15" s="79">
        <f>+'[1]Data -CF05P003'!J21</f>
        <v>5132.434928966504</v>
      </c>
      <c r="K15" s="79">
        <f>+'[1]Data -CF05P003'!K21</f>
        <v>6338.513051546785</v>
      </c>
      <c r="L15" s="79">
        <f t="shared" si="0"/>
        <v>29720.826411948045</v>
      </c>
    </row>
    <row r="16" spans="1:12" ht="15.75">
      <c r="A16" s="78" t="s">
        <v>302</v>
      </c>
      <c r="B16" s="79"/>
      <c r="C16" s="79">
        <f>+'[1]Data -CF05P003'!C22</f>
        <v>59733.897</v>
      </c>
      <c r="D16" s="79">
        <f>+'[1]Data -CF05P003'!D22</f>
        <v>81838.19514822401</v>
      </c>
      <c r="E16" s="79">
        <f>+'[1]Data -CF05P003'!E22</f>
        <v>88804.42914822401</v>
      </c>
      <c r="F16" s="79">
        <f>+'[1]Data -CF05P003'!F22</f>
        <v>69417.43586891063</v>
      </c>
      <c r="G16" s="79">
        <f>+'[1]Data -CF05P003'!G22</f>
        <v>26208.485999999997</v>
      </c>
      <c r="H16" s="79">
        <f>+'[1]Data -CF05P003'!H22</f>
        <v>21734.97362191502</v>
      </c>
      <c r="I16" s="79">
        <f>+'[1]Data -CF05P003'!I22</f>
        <v>18500</v>
      </c>
      <c r="J16" s="79">
        <f>+'[1]Data -CF05P003'!J22</f>
        <v>16000</v>
      </c>
      <c r="K16" s="79">
        <f>+'[1]Data -CF05P003'!K22</f>
        <v>27165.05213451587</v>
      </c>
      <c r="L16" s="79">
        <f t="shared" si="0"/>
        <v>240665.32463904965</v>
      </c>
    </row>
    <row r="17" spans="1:12" ht="15.75">
      <c r="A17" s="78" t="s">
        <v>303</v>
      </c>
      <c r="B17" s="79"/>
      <c r="C17" s="79">
        <f>+'[1]Data -CF05P003'!C23</f>
        <v>23446.48189</v>
      </c>
      <c r="D17" s="79">
        <f>+'[1]Data -CF05P003'!D23</f>
        <v>25170.099899999997</v>
      </c>
      <c r="E17" s="79">
        <f>+'[1]Data -CF05P003'!E23</f>
        <v>25170.099899999997</v>
      </c>
      <c r="F17" s="79">
        <f>+'[1]Data -CF05P003'!F23</f>
        <v>26683.455033999995</v>
      </c>
      <c r="G17" s="79">
        <f>+'[1]Data -CF05P003'!G23</f>
        <v>29287.319866352005</v>
      </c>
      <c r="H17" s="79">
        <f>+'[1]Data -CF05P003'!H23</f>
        <v>30285.41159460986</v>
      </c>
      <c r="I17" s="79">
        <f>+'[1]Data -CF05P003'!I23</f>
        <v>31170.215611767573</v>
      </c>
      <c r="J17" s="79">
        <f>+'[1]Data -CF05P003'!J23</f>
        <v>32714.225792649504</v>
      </c>
      <c r="K17" s="79">
        <f>+'[1]Data -CF05P003'!K23</f>
        <v>34021.23129003173</v>
      </c>
      <c r="L17" s="79">
        <f t="shared" si="0"/>
        <v>175310.72779937892</v>
      </c>
    </row>
    <row r="18" spans="1:12" ht="15.75">
      <c r="A18" s="78" t="s">
        <v>304</v>
      </c>
      <c r="B18" s="79"/>
      <c r="C18" s="79">
        <f>+'[1]Data -CF05P003'!C24</f>
        <v>38.7061</v>
      </c>
      <c r="D18" s="79">
        <f>+'[1]Data -CF05P003'!D24</f>
        <v>0</v>
      </c>
      <c r="E18" s="79">
        <f>+'[1]Data -CF05P003'!E24</f>
        <v>0</v>
      </c>
      <c r="F18" s="79">
        <f>+'[1]Data -CF05P003'!F24</f>
        <v>0</v>
      </c>
      <c r="G18" s="79">
        <f>+'[1]Data -CF05P003'!G24</f>
        <v>0</v>
      </c>
      <c r="H18" s="79">
        <f>+'[1]Data -CF05P003'!H24</f>
        <v>0</v>
      </c>
      <c r="I18" s="79">
        <f>+'[1]Data -CF05P003'!I24</f>
        <v>0</v>
      </c>
      <c r="J18" s="79">
        <f>+'[1]Data -CF05P003'!J24</f>
        <v>0</v>
      </c>
      <c r="K18" s="79">
        <f>+'[1]Data -CF05P003'!K24</f>
        <v>0</v>
      </c>
      <c r="L18" s="79">
        <f t="shared" si="0"/>
        <v>0</v>
      </c>
    </row>
    <row r="19" spans="1:12" ht="15.75">
      <c r="A19" s="78" t="s">
        <v>305</v>
      </c>
      <c r="B19" s="79"/>
      <c r="C19" s="79">
        <f>+'[1]Data -CF05P003'!C25</f>
        <v>17990.9827</v>
      </c>
      <c r="D19" s="79">
        <f>+'[1]Data -CF05P003'!D25</f>
        <v>26977.867773891954</v>
      </c>
      <c r="E19" s="79">
        <f>+'[1]Data -CF05P003'!E25</f>
        <v>26984.859488844424</v>
      </c>
      <c r="F19" s="79">
        <f>+'[1]Data -CF05P003'!F25</f>
        <v>20540.033582185642</v>
      </c>
      <c r="G19" s="79">
        <f>+'[1]Data -CF05P003'!G25</f>
        <v>11840.738940656156</v>
      </c>
      <c r="H19" s="79">
        <f>+'[1]Data -CF05P003'!H25</f>
        <v>10337.617725188135</v>
      </c>
      <c r="I19" s="79">
        <f>+'[1]Data -CF05P003'!I25</f>
        <v>10619.73130414014</v>
      </c>
      <c r="J19" s="79">
        <f>+'[1]Data -CF05P003'!J25</f>
        <v>10878.380022623303</v>
      </c>
      <c r="K19" s="79">
        <f>+'[1]Data -CF05P003'!K25</f>
        <v>11250.944758647891</v>
      </c>
      <c r="L19" s="79">
        <f t="shared" si="0"/>
        <v>91201.36106363779</v>
      </c>
    </row>
    <row r="20" spans="1:12" ht="15.75">
      <c r="A20" s="74" t="s">
        <v>306</v>
      </c>
      <c r="B20" s="80"/>
      <c r="C20" s="80">
        <f aca="true" t="shared" si="1" ref="C20:L20">SUM(C9:C19)</f>
        <v>487383.9306533333</v>
      </c>
      <c r="D20" s="80">
        <f t="shared" si="1"/>
        <v>530096.7952342533</v>
      </c>
      <c r="E20" s="80">
        <f t="shared" si="1"/>
        <v>537934.9896992813</v>
      </c>
      <c r="F20" s="80">
        <f t="shared" si="1"/>
        <v>532805.9312172107</v>
      </c>
      <c r="G20" s="80">
        <f t="shared" si="1"/>
        <v>502281.7227781628</v>
      </c>
      <c r="H20" s="80">
        <f t="shared" si="1"/>
        <v>524363.5045257802</v>
      </c>
      <c r="I20" s="80">
        <f t="shared" si="1"/>
        <v>555031.6877626551</v>
      </c>
      <c r="J20" s="80">
        <f t="shared" si="1"/>
        <v>577148.2637561382</v>
      </c>
      <c r="K20" s="80">
        <f t="shared" si="1"/>
        <v>611467.9208243812</v>
      </c>
      <c r="L20" s="80">
        <f t="shared" si="1"/>
        <v>3229566.099739228</v>
      </c>
    </row>
    <row r="21" spans="1:12" ht="15.75">
      <c r="A21" s="76" t="s">
        <v>307</v>
      </c>
      <c r="B21" s="79"/>
      <c r="C21" s="79"/>
      <c r="D21" s="79"/>
      <c r="E21" s="79"/>
      <c r="F21" s="79"/>
      <c r="G21" s="79"/>
      <c r="H21" s="79"/>
      <c r="I21" s="79"/>
      <c r="J21" s="79"/>
      <c r="K21" s="79"/>
      <c r="L21" s="79"/>
    </row>
    <row r="22" spans="1:12" ht="15.75">
      <c r="A22" s="78" t="s">
        <v>308</v>
      </c>
      <c r="B22" s="79"/>
      <c r="C22" s="79">
        <f>+'[1]Data -CF05P003'!C35</f>
        <v>-384907.79181</v>
      </c>
      <c r="D22" s="79">
        <f>+'[1]Data -CF05P003'!D35</f>
        <v>-405237.97</v>
      </c>
      <c r="E22" s="79">
        <f>+'[1]Data -CF05P003'!E35</f>
        <v>-405237.97</v>
      </c>
      <c r="F22" s="79">
        <f>+'[1]Data -CF05P003'!F35</f>
        <v>-430186.322459756</v>
      </c>
      <c r="G22" s="79">
        <f>+'[1]Data -CF05P003'!G35</f>
        <v>-451658.5949949139</v>
      </c>
      <c r="H22" s="79">
        <f>+'[1]Data -CF05P003'!H35</f>
        <v>-468660.1236589572</v>
      </c>
      <c r="I22" s="79">
        <f>+'[1]Data -CF05P003'!I35</f>
        <v>-489283.91943451646</v>
      </c>
      <c r="J22" s="79">
        <f>+'[1]Data -CF05P003'!J35</f>
        <v>-507663.4435473089</v>
      </c>
      <c r="K22" s="79">
        <f>+'[1]Data -CF05P003'!K35</f>
        <v>-529962.3666670925</v>
      </c>
      <c r="L22" s="79">
        <f aca="true" t="shared" si="2" ref="L22:L27">SUM(E22:J22)</f>
        <v>-2752690.3740954525</v>
      </c>
    </row>
    <row r="23" spans="1:12" ht="15.75">
      <c r="A23" s="78" t="s">
        <v>309</v>
      </c>
      <c r="B23" s="79"/>
      <c r="C23" s="79">
        <f>+'[1]Data -CF05P003'!C36</f>
        <v>-4363.91116</v>
      </c>
      <c r="D23" s="79">
        <f>+'[1]Data -CF05P003'!D36</f>
        <v>-4393.674999999999</v>
      </c>
      <c r="E23" s="79">
        <f>+'[1]Data -CF05P003'!E36</f>
        <v>-4393.674999999999</v>
      </c>
      <c r="F23" s="79">
        <f>+'[1]Data -CF05P003'!F36</f>
        <v>-4311.0979</v>
      </c>
      <c r="G23" s="79">
        <f>+'[1]Data -CF05P003'!G36</f>
        <v>-4431.8086412</v>
      </c>
      <c r="H23" s="79">
        <f>+'[1]Data -CF05P003'!H36</f>
        <v>-4555.899283153601</v>
      </c>
      <c r="I23" s="79">
        <f>+'[1]Data -CF05P003'!I36</f>
        <v>-4683.464463081901</v>
      </c>
      <c r="J23" s="79">
        <f>+'[1]Data -CF05P003'!J36</f>
        <v>-4814.601468048195</v>
      </c>
      <c r="K23" s="79">
        <f>+'[1]Data -CF05P003'!K36</f>
        <v>-4949.410309153544</v>
      </c>
      <c r="L23" s="79">
        <f t="shared" si="2"/>
        <v>-27190.5467554837</v>
      </c>
    </row>
    <row r="24" spans="1:12" ht="15.75" hidden="1">
      <c r="A24" s="78" t="s">
        <v>310</v>
      </c>
      <c r="B24" s="79"/>
      <c r="C24" s="79">
        <f>+'[1]Data -CF05P003'!C37</f>
        <v>0</v>
      </c>
      <c r="D24" s="79">
        <f>+'[1]Data -CF05P003'!D37</f>
        <v>0</v>
      </c>
      <c r="E24" s="79">
        <f>+'[1]Data -CF05P003'!E37</f>
        <v>0</v>
      </c>
      <c r="F24" s="79">
        <f>+'[1]Data -CF05P003'!F37</f>
        <v>0</v>
      </c>
      <c r="G24" s="79">
        <f>+'[1]Data -CF05P003'!G37</f>
        <v>0</v>
      </c>
      <c r="H24" s="79">
        <f>+'[1]Data -CF05P003'!H37</f>
        <v>0</v>
      </c>
      <c r="I24" s="79">
        <f>+'[1]Data -CF05P003'!I37</f>
        <v>0</v>
      </c>
      <c r="J24" s="79">
        <f>+'[1]Data -CF05P003'!J37</f>
        <v>0</v>
      </c>
      <c r="K24" s="79">
        <f>+'[1]Data -CF05P003'!K37</f>
        <v>0</v>
      </c>
      <c r="L24" s="79">
        <f t="shared" si="2"/>
        <v>0</v>
      </c>
    </row>
    <row r="25" spans="1:12" ht="15.75">
      <c r="A25" s="78" t="s">
        <v>311</v>
      </c>
      <c r="B25" s="79"/>
      <c r="C25" s="79">
        <f>+'[1]Data -CF05P003'!C39+'[1]Data -CF05P003'!C41</f>
        <v>-113437.974</v>
      </c>
      <c r="D25" s="79">
        <f>+'[1]Data -CF05P003'!D39</f>
        <v>-164554.856</v>
      </c>
      <c r="E25" s="79">
        <f>+'[1]Data -CF05P003'!E39</f>
        <v>-164554.856</v>
      </c>
      <c r="F25" s="79">
        <f>+'[1]Data -CF05P003'!F39</f>
        <v>-252067.985</v>
      </c>
      <c r="G25" s="79">
        <f>+'[1]Data -CF05P003'!G39</f>
        <v>-87200.148</v>
      </c>
      <c r="H25" s="79">
        <f>+'[1]Data -CF05P003'!H39</f>
        <v>-53434.406</v>
      </c>
      <c r="I25" s="79">
        <f>+'[1]Data -CF05P003'!I39</f>
        <v>-38187.29</v>
      </c>
      <c r="J25" s="79">
        <f>+'[1]Data -CF05P003'!J39</f>
        <v>-63950.718</v>
      </c>
      <c r="K25" s="79">
        <f>+'[1]Data -CF05P003'!K39</f>
        <v>-73815.476</v>
      </c>
      <c r="L25" s="79">
        <f t="shared" si="2"/>
        <v>-659395.403</v>
      </c>
    </row>
    <row r="26" spans="1:12" ht="15.75">
      <c r="A26" s="78" t="s">
        <v>312</v>
      </c>
      <c r="B26" s="79"/>
      <c r="C26" s="79">
        <f>+'[1]Data -CF05P003'!C42</f>
        <v>-12576.043080727126</v>
      </c>
      <c r="D26" s="79">
        <f>+'[1]Data -CF05P003'!D42</f>
        <v>-15652.728635940319</v>
      </c>
      <c r="E26" s="79">
        <f>+'[1]Data -CF05P003'!E42</f>
        <v>-15626.049868515256</v>
      </c>
      <c r="F26" s="79">
        <f>+'[1]Data -CF05P003'!F42</f>
        <v>-9857.665116391738</v>
      </c>
      <c r="G26" s="79">
        <f>+'[1]Data -CF05P003'!G42</f>
        <v>0</v>
      </c>
      <c r="H26" s="79">
        <f>+'[1]Data -CF05P003'!H42</f>
        <v>0</v>
      </c>
      <c r="I26" s="79">
        <f>+'[1]Data -CF05P003'!I42</f>
        <v>0</v>
      </c>
      <c r="J26" s="79">
        <f>+'[1]Data -CF05P003'!J42</f>
        <v>0</v>
      </c>
      <c r="K26" s="79">
        <f>+'[1]Data -CF05P003'!K42</f>
        <v>0</v>
      </c>
      <c r="L26" s="79">
        <f t="shared" si="2"/>
        <v>-25483.714984906994</v>
      </c>
    </row>
    <row r="27" spans="1:12" ht="15.75">
      <c r="A27" s="78" t="s">
        <v>313</v>
      </c>
      <c r="B27" s="79"/>
      <c r="C27" s="79">
        <f>+'[1]Data -CF05P003'!C43</f>
        <v>-11880.38526</v>
      </c>
      <c r="D27" s="79">
        <f>+'[1]Data -CF05P003'!D43</f>
        <v>-15819.200983969478</v>
      </c>
      <c r="E27" s="79">
        <f>+'[1]Data -CF05P003'!E43</f>
        <v>-15819.200983969478</v>
      </c>
      <c r="F27" s="79">
        <f>+'[1]Data -CF05P003'!F43</f>
        <v>-12448.115323969478</v>
      </c>
      <c r="G27" s="79">
        <f>+'[1]Data -CF05P003'!G43</f>
        <v>-5890.465638455731</v>
      </c>
      <c r="H27" s="79">
        <f>+'[1]Data -CF05P003'!H43</f>
        <v>-9611.157459101229</v>
      </c>
      <c r="I27" s="79">
        <f>+'[1]Data -CF05P003'!I43</f>
        <v>-16250.107654261416</v>
      </c>
      <c r="J27" s="79">
        <f>+'[1]Data -CF05P003'!J43</f>
        <v>-16519.63276188226</v>
      </c>
      <c r="K27" s="79">
        <f>+'[1]Data -CF05P003'!K43</f>
        <v>-18158.771296798845</v>
      </c>
      <c r="L27" s="79">
        <f t="shared" si="2"/>
        <v>-76538.67982163958</v>
      </c>
    </row>
    <row r="28" spans="1:12" ht="15.75">
      <c r="A28" s="74" t="s">
        <v>314</v>
      </c>
      <c r="B28" s="75"/>
      <c r="C28" s="75">
        <f aca="true" t="shared" si="3" ref="C28:L28">SUM(C21:C27)</f>
        <v>-527166.1053107271</v>
      </c>
      <c r="D28" s="75">
        <f t="shared" si="3"/>
        <v>-605658.4306199098</v>
      </c>
      <c r="E28" s="75">
        <f t="shared" si="3"/>
        <v>-605631.7518524847</v>
      </c>
      <c r="F28" s="75">
        <f t="shared" si="3"/>
        <v>-708871.1858001172</v>
      </c>
      <c r="G28" s="75">
        <f t="shared" si="3"/>
        <v>-549181.0172745696</v>
      </c>
      <c r="H28" s="75">
        <f t="shared" si="3"/>
        <v>-536261.5864012119</v>
      </c>
      <c r="I28" s="75">
        <f t="shared" si="3"/>
        <v>-548404.7815518598</v>
      </c>
      <c r="J28" s="75">
        <f t="shared" si="3"/>
        <v>-592948.3957772393</v>
      </c>
      <c r="K28" s="75">
        <f t="shared" si="3"/>
        <v>-626886.0242730449</v>
      </c>
      <c r="L28" s="75">
        <f t="shared" si="3"/>
        <v>-3541298.718657483</v>
      </c>
    </row>
    <row r="29" spans="1:12" ht="15.75">
      <c r="A29" s="81" t="s">
        <v>315</v>
      </c>
      <c r="B29" s="82"/>
      <c r="C29" s="83"/>
      <c r="D29" s="83"/>
      <c r="E29" s="83"/>
      <c r="F29" s="83"/>
      <c r="G29" s="83"/>
      <c r="H29" s="83"/>
      <c r="I29" s="83"/>
      <c r="J29" s="83"/>
      <c r="K29" s="83"/>
      <c r="L29" s="83"/>
    </row>
    <row r="30" spans="1:12" ht="15.75">
      <c r="A30" s="84" t="s">
        <v>316</v>
      </c>
      <c r="B30" s="85"/>
      <c r="C30" s="86">
        <v>0</v>
      </c>
      <c r="D30" s="86">
        <f>+'[1]Data -CF05P003'!D40</f>
        <v>4096.316449999999</v>
      </c>
      <c r="E30" s="86">
        <f>+'[1]Data -CF05P003'!E40</f>
        <v>4096.316449999999</v>
      </c>
      <c r="F30" s="86">
        <f>+'[1]Data -CF05P003'!F40</f>
        <v>4344.97420359756</v>
      </c>
      <c r="G30" s="86">
        <f>+'[1]Data -CF05P003'!G40</f>
        <v>4560.904036361139</v>
      </c>
      <c r="H30" s="86">
        <f>+'[1]Data -CF05P003'!H40</f>
        <v>4732.160229421108</v>
      </c>
      <c r="I30" s="86">
        <f>+'[1]Data -CF05P003'!I40</f>
        <v>4939.673838975984</v>
      </c>
      <c r="J30" s="86">
        <f>+'[1]Data -CF05P003'!J40</f>
        <v>5124.780450153571</v>
      </c>
      <c r="K30" s="86">
        <f>+'[1]Data -CF05P003'!K40</f>
        <v>5349.117769762461</v>
      </c>
      <c r="L30" s="86">
        <f>SUM(E30:J30)</f>
        <v>27798.809208509363</v>
      </c>
    </row>
    <row r="31" spans="1:13" ht="15.75">
      <c r="A31" s="84" t="s">
        <v>317</v>
      </c>
      <c r="B31" s="85"/>
      <c r="C31" s="86">
        <v>0</v>
      </c>
      <c r="D31" s="86">
        <f>+'[1]Data -CF05P003'!D41</f>
        <v>10674.003800000011</v>
      </c>
      <c r="E31" s="86">
        <f>+'[1]Data -CF05P003'!E41</f>
        <v>2518.1118000000224</v>
      </c>
      <c r="F31" s="86">
        <f>+'[1]Data -CF05P003'!F41</f>
        <v>-620.876599999994</v>
      </c>
      <c r="G31" s="86">
        <f>+'[1]Data -CF05P003'!G41</f>
        <v>4696.2085</v>
      </c>
      <c r="H31" s="86">
        <f>+'[1]Data -CF05P003'!H41</f>
        <v>-3919.8542000000034</v>
      </c>
      <c r="I31" s="86">
        <f>+'[1]Data -CF05P003'!I41</f>
        <v>-10063.8196</v>
      </c>
      <c r="J31" s="86">
        <f>+'[1]Data -CF05P003'!J41</f>
        <v>-196.8365</v>
      </c>
      <c r="K31" s="86">
        <f>+'[1]Data -CF05P003'!K41</f>
        <v>17498.039400000005</v>
      </c>
      <c r="L31" s="86">
        <f>SUM(E31:J31)</f>
        <v>-7587.0665999999765</v>
      </c>
      <c r="M31" s="87"/>
    </row>
    <row r="32" spans="1:12" ht="15.75">
      <c r="A32" s="88" t="s">
        <v>318</v>
      </c>
      <c r="B32" s="89"/>
      <c r="C32" s="90">
        <v>0</v>
      </c>
      <c r="D32" s="90">
        <f aca="true" t="shared" si="4" ref="D32:L32">+D31+D30</f>
        <v>14770.320250000012</v>
      </c>
      <c r="E32" s="90">
        <f t="shared" si="4"/>
        <v>6614.428250000022</v>
      </c>
      <c r="F32" s="90">
        <f t="shared" si="4"/>
        <v>3724.0976035975655</v>
      </c>
      <c r="G32" s="90">
        <f t="shared" si="4"/>
        <v>9257.112536361139</v>
      </c>
      <c r="H32" s="90">
        <f t="shared" si="4"/>
        <v>812.3060294211045</v>
      </c>
      <c r="I32" s="90">
        <f t="shared" si="4"/>
        <v>-5124.145761024017</v>
      </c>
      <c r="J32" s="90">
        <f t="shared" si="4"/>
        <v>4927.943950153571</v>
      </c>
      <c r="K32" s="90">
        <f t="shared" si="4"/>
        <v>22847.157169762468</v>
      </c>
      <c r="L32" s="90">
        <f t="shared" si="4"/>
        <v>20211.742608509387</v>
      </c>
    </row>
    <row r="33" spans="1:12" ht="15.75">
      <c r="A33" s="91" t="s">
        <v>319</v>
      </c>
      <c r="B33" s="86"/>
      <c r="C33" s="86"/>
      <c r="D33" s="86"/>
      <c r="E33" s="86"/>
      <c r="F33" s="86"/>
      <c r="G33" s="86"/>
      <c r="H33" s="86"/>
      <c r="I33" s="86"/>
      <c r="J33" s="86"/>
      <c r="K33" s="86"/>
      <c r="L33" s="86"/>
    </row>
    <row r="34" spans="1:12" ht="15.75">
      <c r="A34" s="78" t="s">
        <v>320</v>
      </c>
      <c r="B34" s="92"/>
      <c r="C34" s="92">
        <f>+'[1]Data -CF05P003'!C28</f>
        <v>0</v>
      </c>
      <c r="D34" s="92">
        <f>+'[1]Data -CF05P003'!D28</f>
        <v>50000</v>
      </c>
      <c r="E34" s="92">
        <f>+'[1]Data -CF05P003'!E28</f>
        <v>50000</v>
      </c>
      <c r="F34" s="92">
        <f>+'[1]Data -CF05P003'!F28</f>
        <v>26500</v>
      </c>
      <c r="G34" s="92">
        <f>+'[1]Data -CF05P003'!G28</f>
        <v>10500</v>
      </c>
      <c r="H34" s="92">
        <f>+'[1]Data -CF05P003'!H28</f>
        <v>4000</v>
      </c>
      <c r="I34" s="92">
        <f>+'[1]Data -CF05P003'!I28</f>
        <v>18000</v>
      </c>
      <c r="J34" s="92">
        <f>+'[1]Data -CF05P003'!J28</f>
        <v>33500</v>
      </c>
      <c r="K34" s="92">
        <f>+'[1]Data -CF05P003'!K28</f>
        <v>17500</v>
      </c>
      <c r="L34" s="92">
        <f>SUM(E34:J34)</f>
        <v>142500</v>
      </c>
    </row>
    <row r="35" spans="1:12" ht="15.75" hidden="1">
      <c r="A35" s="78" t="s">
        <v>321</v>
      </c>
      <c r="B35" s="92"/>
      <c r="C35" s="92"/>
      <c r="D35" s="92"/>
      <c r="E35" s="92"/>
      <c r="F35" s="92"/>
      <c r="G35" s="92"/>
      <c r="H35" s="92"/>
      <c r="I35" s="92"/>
      <c r="J35" s="92"/>
      <c r="K35" s="92"/>
      <c r="L35" s="92">
        <f>SUM(E35:J35)</f>
        <v>0</v>
      </c>
    </row>
    <row r="36" spans="1:12" ht="15.75">
      <c r="A36" s="78" t="s">
        <v>322</v>
      </c>
      <c r="B36" s="92"/>
      <c r="C36" s="92">
        <f>+'[1]Data -CF05P003'!C31</f>
        <v>0</v>
      </c>
      <c r="D36" s="92">
        <f>+'[1]Data -CF05P003'!D31</f>
        <v>0</v>
      </c>
      <c r="E36" s="92">
        <f>+'[1]Data -CF05P003'!E31</f>
        <v>0</v>
      </c>
      <c r="F36" s="92">
        <f>+'[1]Data -CF05P003'!F31</f>
        <v>0</v>
      </c>
      <c r="G36" s="92">
        <f>+'[1]Data -CF05P003'!G31</f>
        <v>0</v>
      </c>
      <c r="H36" s="92">
        <f>+'[1]Data -CF05P003'!H31</f>
        <v>0</v>
      </c>
      <c r="I36" s="92">
        <f>+'[1]Data -CF05P003'!I31</f>
        <v>0</v>
      </c>
      <c r="J36" s="92">
        <f>+'[1]Data -CF05P003'!J31</f>
        <v>0</v>
      </c>
      <c r="K36" s="92">
        <f>+'[1]Data -CF05P003'!K31</f>
        <v>0</v>
      </c>
      <c r="L36" s="92">
        <f>SUM(E36:J36)</f>
        <v>0</v>
      </c>
    </row>
    <row r="37" spans="1:12" ht="15.75">
      <c r="A37" s="78" t="s">
        <v>323</v>
      </c>
      <c r="B37" s="92"/>
      <c r="C37" s="92">
        <f>+'[1]Data -CF05P003'!C32</f>
        <v>-13611.534682900012</v>
      </c>
      <c r="D37" s="92">
        <f>+'[1]Data -CF05P003'!D32</f>
        <v>1983.9145356126246</v>
      </c>
      <c r="E37" s="92">
        <f>+'[1]Data -CF05P003'!E32</f>
        <v>24862.562535612626</v>
      </c>
      <c r="F37" s="92">
        <f>+'[1]Data -CF05P003'!F32</f>
        <v>2666.6968133650516</v>
      </c>
      <c r="G37" s="92">
        <f>+'[1]Data -CF05P003'!G32</f>
        <v>2224.8008627449162</v>
      </c>
      <c r="H37" s="92">
        <f>+'[1]Data -CF05P003'!H32</f>
        <v>1839.020456052851</v>
      </c>
      <c r="I37" s="92">
        <f>+'[1]Data -CF05P003'!I32</f>
        <v>1292.4362507188125</v>
      </c>
      <c r="J37" s="92">
        <f>+'[1]Data -CF05P003'!J32</f>
        <v>1313.583486386844</v>
      </c>
      <c r="K37" s="92">
        <f>+'[1]Data -CF05P003'!K32</f>
        <v>2350.9391493242874</v>
      </c>
      <c r="L37" s="92">
        <f>SUM(E37:J37)</f>
        <v>34199.1004048811</v>
      </c>
    </row>
    <row r="38" spans="1:12" ht="15.75">
      <c r="A38" s="93" t="s">
        <v>324</v>
      </c>
      <c r="B38" s="94"/>
      <c r="C38" s="94">
        <f aca="true" t="shared" si="5" ref="C38:L38">SUM(C34:C37)</f>
        <v>-13611.534682900012</v>
      </c>
      <c r="D38" s="94">
        <f t="shared" si="5"/>
        <v>51983.914535612625</v>
      </c>
      <c r="E38" s="94">
        <f t="shared" si="5"/>
        <v>74862.56253561263</v>
      </c>
      <c r="F38" s="94">
        <f t="shared" si="5"/>
        <v>29166.69681336505</v>
      </c>
      <c r="G38" s="94">
        <f t="shared" si="5"/>
        <v>12724.800862744916</v>
      </c>
      <c r="H38" s="94">
        <f t="shared" si="5"/>
        <v>5839.020456052851</v>
      </c>
      <c r="I38" s="94">
        <f t="shared" si="5"/>
        <v>19292.436250718813</v>
      </c>
      <c r="J38" s="94">
        <f t="shared" si="5"/>
        <v>34813.583486386844</v>
      </c>
      <c r="K38" s="94">
        <f t="shared" si="5"/>
        <v>19850.939149324287</v>
      </c>
      <c r="L38" s="94">
        <f t="shared" si="5"/>
        <v>176699.10040488112</v>
      </c>
    </row>
    <row r="39" spans="1:12" ht="15.75">
      <c r="A39" s="95" t="s">
        <v>325</v>
      </c>
      <c r="B39" s="94"/>
      <c r="C39" s="94">
        <f aca="true" t="shared" si="6" ref="C39:L39">+C38+C32+C28+C20+C7</f>
        <v>247782.76196093397</v>
      </c>
      <c r="D39" s="94">
        <f t="shared" si="6"/>
        <v>247469.03672194536</v>
      </c>
      <c r="E39" s="94">
        <f t="shared" si="6"/>
        <v>261562.99059334333</v>
      </c>
      <c r="F39" s="94">
        <f t="shared" si="6"/>
        <v>118388.53042739944</v>
      </c>
      <c r="G39" s="94">
        <f t="shared" si="6"/>
        <v>93471.14933009856</v>
      </c>
      <c r="H39" s="94">
        <f t="shared" si="6"/>
        <v>88224.39394014096</v>
      </c>
      <c r="I39" s="94">
        <f t="shared" si="6"/>
        <v>109019.59064063085</v>
      </c>
      <c r="J39" s="94">
        <f t="shared" si="6"/>
        <v>132960.98605607016</v>
      </c>
      <c r="K39" s="94">
        <f t="shared" si="6"/>
        <v>160240.97892649303</v>
      </c>
      <c r="L39" s="94">
        <f t="shared" si="6"/>
        <v>132960.9860560695</v>
      </c>
    </row>
    <row r="40" spans="1:12" ht="15.75">
      <c r="A40" s="76" t="s">
        <v>326</v>
      </c>
      <c r="B40" s="79"/>
      <c r="C40" s="96"/>
      <c r="D40" s="96"/>
      <c r="E40" s="96"/>
      <c r="F40" s="96"/>
      <c r="G40" s="96"/>
      <c r="H40" s="96"/>
      <c r="I40" s="96"/>
      <c r="J40" s="96"/>
      <c r="K40" s="96"/>
      <c r="L40" s="97"/>
    </row>
    <row r="41" spans="1:12" ht="15.75">
      <c r="A41" s="78" t="s">
        <v>327</v>
      </c>
      <c r="B41" s="98"/>
      <c r="C41" s="98">
        <f>+'[1]Data -CF05P003'!C54</f>
        <v>24222.767429999796</v>
      </c>
      <c r="D41" s="98">
        <f>+'[1]Data -CF05P003'!D54</f>
        <v>33445.09947663601</v>
      </c>
      <c r="E41" s="98">
        <f>+'[1]Data -CF05P003'!E54</f>
        <v>29373.885969514573</v>
      </c>
      <c r="F41" s="98">
        <f>+'[1]Data -CF05P003'!F54</f>
        <v>28841.764759293488</v>
      </c>
      <c r="G41" s="98">
        <f>+'[1]Data -CF05P003'!G54</f>
        <v>27374.30510429231</v>
      </c>
      <c r="H41" s="98">
        <f>+'[1]Data -CF05P003'!H54</f>
        <v>24854.9501298693</v>
      </c>
      <c r="I41" s="98">
        <f>+'[1]Data -CF05P003'!I54</f>
        <v>22779.910560405544</v>
      </c>
      <c r="J41" s="98">
        <f>+'[1]Data -CF05P003'!J54</f>
        <v>20112.28781784194</v>
      </c>
      <c r="K41" s="98">
        <f>+'[1]Data -CF05P003'!K54</f>
        <v>17531.05789332391</v>
      </c>
      <c r="L41" s="99">
        <f>+I41</f>
        <v>22779.910560405544</v>
      </c>
    </row>
    <row r="42" spans="1:12" ht="15.75">
      <c r="A42" s="78" t="s">
        <v>328</v>
      </c>
      <c r="B42" s="98"/>
      <c r="C42" s="98">
        <f>+'[1]Data -CF05P003'!C55</f>
        <v>0</v>
      </c>
      <c r="D42" s="98">
        <f>+'[1]Data -CF05P003'!D55</f>
        <v>0</v>
      </c>
      <c r="E42" s="98">
        <f>+'[1]Data -CF05P003'!E55</f>
        <v>0</v>
      </c>
      <c r="F42" s="98">
        <f>+'[1]Data -CF05P003'!F55</f>
        <v>0</v>
      </c>
      <c r="G42" s="98">
        <f>+'[1]Data -CF05P003'!G55</f>
        <v>0</v>
      </c>
      <c r="H42" s="98">
        <f>+'[1]Data -CF05P003'!H55</f>
        <v>0</v>
      </c>
      <c r="I42" s="98">
        <f>+'[1]Data -CF05P003'!I55</f>
        <v>0</v>
      </c>
      <c r="J42" s="98">
        <f>+'[1]Data -CF05P003'!J55</f>
        <v>0</v>
      </c>
      <c r="K42" s="98">
        <f>+'[1]Data -CF05P003'!K55</f>
        <v>0</v>
      </c>
      <c r="L42" s="99">
        <f>+I42</f>
        <v>0</v>
      </c>
    </row>
    <row r="43" spans="1:12" ht="15.75">
      <c r="A43" s="78" t="s">
        <v>329</v>
      </c>
      <c r="B43" s="98"/>
      <c r="C43" s="98">
        <f>+'[1]Data -CF05P003'!C56</f>
        <v>100914.34427596569</v>
      </c>
      <c r="D43" s="98">
        <f>+'[1]Data -CF05P003'!D56</f>
        <v>102945.41496361024</v>
      </c>
      <c r="E43" s="98">
        <f>+'[1]Data -CF05P003'!E56</f>
        <v>107531.28209361027</v>
      </c>
      <c r="F43" s="98">
        <f>+'[1]Data -CF05P003'!F56</f>
        <v>25647.784632506256</v>
      </c>
      <c r="G43" s="98">
        <f>+'[1]Data -CF05P003'!G56</f>
        <v>42304.21458570918</v>
      </c>
      <c r="H43" s="98">
        <f>+'[1]Data -CF05P003'!H56</f>
        <v>41243.86714205842</v>
      </c>
      <c r="I43" s="98">
        <f>+'[1]Data -CF05P003'!I56</f>
        <v>62600.41673755902</v>
      </c>
      <c r="J43" s="98">
        <f>+'[1]Data -CF05P003'!J56</f>
        <v>88477.89004348834</v>
      </c>
      <c r="K43" s="98">
        <f>+'[1]Data -CF05P003'!K56</f>
        <v>116204.73599825983</v>
      </c>
      <c r="L43" s="99">
        <f>+I43</f>
        <v>62600.41673755902</v>
      </c>
    </row>
    <row r="44" spans="1:12" ht="15.75">
      <c r="A44" s="78" t="s">
        <v>312</v>
      </c>
      <c r="B44" s="98"/>
      <c r="C44" s="98">
        <f>+'[1]Data -CF05P003'!C58</f>
        <v>26071.73748387168</v>
      </c>
      <c r="D44" s="98">
        <f>+'[1]Data -CF05P003'!D58</f>
        <v>9620.80165896667</v>
      </c>
      <c r="E44" s="98">
        <f>+'[1]Data -CF05P003'!E58</f>
        <v>9584.860116391734</v>
      </c>
      <c r="F44" s="98">
        <f>+'[1]Data -CF05P003'!F58</f>
        <v>-3.637978807091713E-12</v>
      </c>
      <c r="G44" s="98">
        <f>+'[1]Data -CF05P003'!G58</f>
        <v>-3.637978807091713E-12</v>
      </c>
      <c r="H44" s="98">
        <f>+'[1]Data -CF05P003'!H58</f>
        <v>-3.637978807091713E-12</v>
      </c>
      <c r="I44" s="98">
        <f>+'[1]Data -CF05P003'!I58</f>
        <v>-3.637978807091713E-12</v>
      </c>
      <c r="J44" s="98">
        <f>+'[1]Data -CF05P003'!J58</f>
        <v>-3.637978807091713E-12</v>
      </c>
      <c r="K44" s="98">
        <f>+'[1]Data -CF05P003'!K58</f>
        <v>-3.637978807091713E-12</v>
      </c>
      <c r="L44" s="99">
        <f>+I44</f>
        <v>-3.637978807091713E-12</v>
      </c>
    </row>
    <row r="45" spans="1:12" ht="15.75">
      <c r="A45" s="78" t="s">
        <v>330</v>
      </c>
      <c r="B45" s="98"/>
      <c r="C45" s="79"/>
      <c r="D45" s="79"/>
      <c r="E45" s="79"/>
      <c r="F45" s="79"/>
      <c r="G45" s="79"/>
      <c r="H45" s="79"/>
      <c r="I45" s="79"/>
      <c r="J45" s="79"/>
      <c r="K45" s="79"/>
      <c r="L45" s="100"/>
    </row>
    <row r="46" spans="1:12" ht="15.75">
      <c r="A46" s="101" t="s">
        <v>331</v>
      </c>
      <c r="B46" s="102"/>
      <c r="C46" s="102">
        <f aca="true" t="shared" si="7" ref="C46:L46">SUM(C41:C45)</f>
        <v>151208.84918983717</v>
      </c>
      <c r="D46" s="102">
        <f t="shared" si="7"/>
        <v>146011.3160992129</v>
      </c>
      <c r="E46" s="102">
        <f t="shared" si="7"/>
        <v>146490.02817951658</v>
      </c>
      <c r="F46" s="102">
        <f t="shared" si="7"/>
        <v>54489.54939179974</v>
      </c>
      <c r="G46" s="102">
        <f t="shared" si="7"/>
        <v>69678.5196900015</v>
      </c>
      <c r="H46" s="102">
        <f t="shared" si="7"/>
        <v>66098.81727192772</v>
      </c>
      <c r="I46" s="102">
        <f t="shared" si="7"/>
        <v>85380.32729796457</v>
      </c>
      <c r="J46" s="102">
        <f t="shared" si="7"/>
        <v>108590.17786133027</v>
      </c>
      <c r="K46" s="102">
        <f t="shared" si="7"/>
        <v>133735.79389158374</v>
      </c>
      <c r="L46" s="102">
        <f t="shared" si="7"/>
        <v>85380.32729796457</v>
      </c>
    </row>
    <row r="47" spans="1:12" ht="15.75">
      <c r="A47" s="95" t="s">
        <v>332</v>
      </c>
      <c r="B47" s="94"/>
      <c r="C47" s="94">
        <f aca="true" t="shared" si="8" ref="C47:L47">+C39-C46</f>
        <v>96573.9127710968</v>
      </c>
      <c r="D47" s="94">
        <f t="shared" si="8"/>
        <v>101457.72062273245</v>
      </c>
      <c r="E47" s="94">
        <f t="shared" si="8"/>
        <v>115072.96241382675</v>
      </c>
      <c r="F47" s="94">
        <f t="shared" si="8"/>
        <v>63898.9810355997</v>
      </c>
      <c r="G47" s="94">
        <f t="shared" si="8"/>
        <v>23792.62964009706</v>
      </c>
      <c r="H47" s="94">
        <f t="shared" si="8"/>
        <v>22125.576668213238</v>
      </c>
      <c r="I47" s="94">
        <f t="shared" si="8"/>
        <v>23639.26334266628</v>
      </c>
      <c r="J47" s="94">
        <f t="shared" si="8"/>
        <v>24370.80819473989</v>
      </c>
      <c r="K47" s="94">
        <f t="shared" si="8"/>
        <v>26505.185034909286</v>
      </c>
      <c r="L47" s="94">
        <f t="shared" si="8"/>
        <v>47580.658758104924</v>
      </c>
    </row>
    <row r="48" spans="1:11" s="59" customFormat="1" ht="15.75">
      <c r="A48" s="103"/>
      <c r="B48" s="104"/>
      <c r="C48" s="104"/>
      <c r="D48" s="104"/>
      <c r="E48" s="104"/>
      <c r="F48" s="104"/>
      <c r="G48" s="104"/>
      <c r="H48" s="104"/>
      <c r="I48" s="104"/>
      <c r="J48" s="104"/>
      <c r="K48" s="104"/>
    </row>
    <row r="49" spans="1:12" s="107" customFormat="1" ht="15.75">
      <c r="A49" s="105" t="s">
        <v>333</v>
      </c>
      <c r="B49" s="106"/>
      <c r="C49" s="106">
        <f>+'[1]Form5- Operating'!C38+'[1]Form5-RFRF'!C31+'[1]Form5-CBL'!C31</f>
        <v>101204.43810766654</v>
      </c>
      <c r="D49" s="106">
        <f>+'[1]Form5- Operating'!D38+'[1]Form5-RFRF'!D31+'[1]Form5-CBL'!D31</f>
        <v>94760.76849158114</v>
      </c>
      <c r="E49" s="106">
        <f>+'[1]Form5- Operating'!E38+'[1]Form5-RFRF'!E31+'[1]Form5-CBL'!E31</f>
        <v>94642.90062000621</v>
      </c>
      <c r="F49" s="106">
        <f>+'[1]Form5- Operating'!F38+'[1]Form5-RFRF'!F31+'[1]Form5-CBL'!F31</f>
        <v>61363.47258607819</v>
      </c>
      <c r="G49" s="106">
        <f>+'[1]Form5- Operating'!G38+'[1]Form5-RFRF'!G31+'[1]Form5-CBL'!G31</f>
        <v>79794.84576459776</v>
      </c>
      <c r="H49" s="106">
        <f>+'[1]Form5- Operating'!H38+'[1]Form5-RFRF'!H31+'[1]Form5-CBL'!H31</f>
        <v>100142.22422789992</v>
      </c>
      <c r="I49" s="106">
        <f>+'[1]Form5- Operating'!I38+'[1]Form5-RFRF'!I31+'[1]Form5-CBL'!I31</f>
        <v>123204.53569394161</v>
      </c>
      <c r="J49" s="106">
        <f>+'[1]Form5- Operating'!J38+'[1]Form5-RFRF'!J31+'[1]Form5-CBL'!J31</f>
        <v>148603.5853437507</v>
      </c>
      <c r="K49" s="106">
        <f>+'[1]Form5- Operating'!K38+'[1]Form5-RFRF'!K31+'[1]Form5-CBL'!K31</f>
        <v>176174.48406570725</v>
      </c>
      <c r="L49" s="70"/>
    </row>
    <row r="50" spans="1:11" ht="15.75">
      <c r="A50" s="108"/>
      <c r="B50" s="69"/>
      <c r="C50" s="69"/>
      <c r="D50" s="69"/>
      <c r="E50" s="69"/>
      <c r="F50" s="69"/>
      <c r="G50" s="69"/>
      <c r="H50" s="69"/>
      <c r="I50" s="69"/>
      <c r="J50" s="69"/>
      <c r="K50" s="69"/>
    </row>
    <row r="51" spans="1:11" ht="15.75">
      <c r="A51" s="109" t="s">
        <v>334</v>
      </c>
      <c r="B51" s="69"/>
      <c r="C51" s="69"/>
      <c r="D51" s="69"/>
      <c r="E51" s="69"/>
      <c r="F51" s="69"/>
      <c r="G51" s="69"/>
      <c r="H51" s="69"/>
      <c r="I51" s="70"/>
      <c r="J51" s="70"/>
      <c r="K51" s="70"/>
    </row>
    <row r="52" spans="1:5" ht="18.75">
      <c r="A52" s="110" t="s">
        <v>335</v>
      </c>
      <c r="B52" s="111"/>
      <c r="C52" s="111"/>
      <c r="D52" s="87"/>
      <c r="E52" s="111"/>
    </row>
    <row r="53" spans="1:11" ht="18.75">
      <c r="A53" s="112" t="s">
        <v>336</v>
      </c>
      <c r="B53" s="111"/>
      <c r="C53" s="111"/>
      <c r="D53" s="87"/>
      <c r="E53" s="111"/>
      <c r="F53" s="111"/>
      <c r="G53" s="69"/>
      <c r="H53" s="69"/>
      <c r="I53" s="69"/>
      <c r="J53" s="69"/>
      <c r="K53" s="69"/>
    </row>
    <row r="54" spans="1:11" ht="18.75">
      <c r="A54" s="112" t="s">
        <v>337</v>
      </c>
      <c r="B54" s="57"/>
      <c r="C54" s="57"/>
      <c r="D54" s="113"/>
      <c r="E54" s="57"/>
      <c r="F54" s="111"/>
      <c r="G54" s="69"/>
      <c r="H54" s="69"/>
      <c r="I54" s="69"/>
      <c r="J54" s="69"/>
      <c r="K54" s="69"/>
    </row>
    <row r="55" spans="1:11" ht="18.75">
      <c r="A55" s="114" t="s">
        <v>338</v>
      </c>
      <c r="B55" s="115"/>
      <c r="C55" s="115"/>
      <c r="D55" s="87"/>
      <c r="E55" s="111"/>
      <c r="G55" s="69"/>
      <c r="H55" s="69"/>
      <c r="I55" s="69"/>
      <c r="J55" s="69"/>
      <c r="K55" s="69"/>
    </row>
    <row r="56" spans="1:11" ht="18.75">
      <c r="A56" s="114" t="s">
        <v>339</v>
      </c>
      <c r="B56" s="114" t="s">
        <v>340</v>
      </c>
      <c r="C56" s="69"/>
      <c r="D56" s="87"/>
      <c r="E56" s="69"/>
      <c r="F56" s="69"/>
      <c r="G56" s="69"/>
      <c r="H56" s="69"/>
      <c r="I56" s="69"/>
      <c r="J56" s="69"/>
      <c r="K56" s="69"/>
    </row>
  </sheetData>
  <printOptions horizontalCentered="1"/>
  <pageMargins left="0.18" right="0.16" top="0.5" bottom="0.5" header="0.5" footer="0.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Janet Masuo</cp:lastModifiedBy>
  <cp:lastPrinted>2004-05-18T20:38:03Z</cp:lastPrinted>
  <dcterms:created xsi:type="dcterms:W3CDTF">2002-03-30T01:30:16Z</dcterms:created>
  <dcterms:modified xsi:type="dcterms:W3CDTF">2004-06-24T20:02:18Z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1540718062</vt:i4>
  </property>
  <property fmtid="{D5CDD505-2E9C-101B-9397-08002B2CF9AE}" pid="3" name="_EmailSubject">
    <vt:lpwstr>CIP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1435287765</vt:i4>
  </property>
  <property fmtid="{D5CDD505-2E9C-101B-9397-08002B2CF9AE}" pid="7" name="_ReviewingToolsShownOnce">
    <vt:lpwstr/>
  </property>
</Properties>
</file>