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55" windowHeight="6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<sst xmlns="http://schemas.openxmlformats.org/spreadsheetml/2006/main" count="82" uniqueCount="34">
  <si>
    <t>Summary of Ridgway/Green River Homicides Investigation Costs</t>
  </si>
  <si>
    <t>Department/Item</t>
  </si>
  <si>
    <t>Expenditures</t>
  </si>
  <si>
    <t>Positions</t>
  </si>
  <si>
    <t>Revenues</t>
  </si>
  <si>
    <t>Superior Court</t>
  </si>
  <si>
    <t>Absorbed Costs</t>
  </si>
  <si>
    <t>Staffing</t>
  </si>
  <si>
    <t>Jury Costs</t>
  </si>
  <si>
    <t>Equipment, Supplies, and Facilities Modifications</t>
  </si>
  <si>
    <t>TOTAL</t>
  </si>
  <si>
    <t>New Appropriations</t>
  </si>
  <si>
    <t>Supplemental Need</t>
  </si>
  <si>
    <t>2004 Estimate</t>
  </si>
  <si>
    <t>Department of Judicial Administration</t>
  </si>
  <si>
    <t>Exhibit Storage</t>
  </si>
  <si>
    <t>Office of Public Defense</t>
  </si>
  <si>
    <t>Technology</t>
  </si>
  <si>
    <t>Experts</t>
  </si>
  <si>
    <t>Special Master</t>
  </si>
  <si>
    <t>Carryover Request</t>
  </si>
  <si>
    <t>Investigator Invoices</t>
  </si>
  <si>
    <t>Expert Invoices</t>
  </si>
  <si>
    <t>Amount Included in 2003 Budget</t>
  </si>
  <si>
    <t>Supplemental Needed</t>
  </si>
  <si>
    <t>Prosecuting Attorney's Office</t>
  </si>
  <si>
    <t>Trial Costs</t>
  </si>
  <si>
    <t>Outstanding database invoices</t>
  </si>
  <si>
    <t>Expert Witnesses</t>
  </si>
  <si>
    <t>Sheriff's Office</t>
  </si>
  <si>
    <t>Services and Supplies</t>
  </si>
  <si>
    <t>Loaned Positions</t>
  </si>
  <si>
    <t xml:space="preserve">Amount Included in 2003 Budget </t>
  </si>
  <si>
    <t>Attachment 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</si>
</sst>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6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2" fillId="2" borderId="4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4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15" applyNumberFormat="1" applyFont="1" applyBorder="1" applyAlignment="1">
      <alignment/>
    </xf>
    <xf numFmtId="0" fontId="0" fillId="0" borderId="5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2" borderId="0" xfId="0" applyFont="1" applyFill="1" applyBorder="1" applyAlignment="1">
      <alignment/>
    </xf>
    <xf numFmtId="165" fontId="0" fillId="2" borderId="0" xfId="15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165" fontId="0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5" xfId="15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165" fontId="0" fillId="0" borderId="0" xfId="15" applyNumberFormat="1" applyBorder="1" applyAlignment="1">
      <alignment/>
    </xf>
    <xf numFmtId="0" fontId="0" fillId="0" borderId="5" xfId="0" applyBorder="1" applyAlignment="1">
      <alignment/>
    </xf>
    <xf numFmtId="165" fontId="0" fillId="0" borderId="0" xfId="0" applyNumberFormat="1" applyBorder="1" applyAlignment="1">
      <alignment/>
    </xf>
    <xf numFmtId="0" fontId="0" fillId="2" borderId="5" xfId="0" applyFill="1" applyBorder="1" applyAlignment="1">
      <alignment/>
    </xf>
    <xf numFmtId="165" fontId="0" fillId="0" borderId="5" xfId="0" applyNumberForma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2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2" borderId="11" xfId="0" applyFill="1" applyBorder="1" applyAlignment="1">
      <alignment/>
    </xf>
    <xf numFmtId="165" fontId="0" fillId="0" borderId="11" xfId="0" applyNumberFormat="1" applyBorder="1" applyAlignment="1">
      <alignment/>
    </xf>
    <xf numFmtId="165" fontId="2" fillId="0" borderId="0" xfId="15" applyNumberFormat="1" applyFont="1" applyBorder="1" applyAlignment="1">
      <alignment/>
    </xf>
    <xf numFmtId="0" fontId="5" fillId="0" borderId="4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0" xfId="1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165" fontId="2" fillId="0" borderId="5" xfId="15" applyNumberFormat="1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/>
    </xf>
    <xf numFmtId="165" fontId="2" fillId="0" borderId="13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165" fontId="2" fillId="0" borderId="15" xfId="0" applyNumberFormat="1" applyFont="1" applyBorder="1" applyAlignment="1">
      <alignment/>
    </xf>
    <xf numFmtId="0" fontId="5" fillId="0" borderId="4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tabSelected="1" workbookViewId="0" topLeftCell="C1">
      <selection activeCell="C1" sqref="C1"/>
    </sheetView>
  </sheetViews>
  <sheetFormatPr defaultColWidth="9.140625" defaultRowHeight="12.75"/>
  <cols>
    <col min="1" max="1" width="1.28515625" style="0" customWidth="1"/>
    <col min="2" max="2" width="39.00390625" style="0" customWidth="1"/>
    <col min="3" max="3" width="16.140625" style="0" customWidth="1"/>
    <col min="4" max="5" width="12.00390625" style="0" customWidth="1"/>
    <col min="6" max="6" width="0.85546875" style="0" customWidth="1"/>
    <col min="7" max="7" width="15.28125" style="0" customWidth="1"/>
    <col min="8" max="8" width="13.00390625" style="0" customWidth="1"/>
    <col min="9" max="9" width="12.57421875" style="0" customWidth="1"/>
  </cols>
  <sheetData>
    <row r="1" ht="12.75">
      <c r="C1" s="2" t="s">
        <v>33</v>
      </c>
    </row>
    <row r="2" ht="20.25">
      <c r="A2" s="1" t="s">
        <v>0</v>
      </c>
    </row>
    <row r="3" ht="21" thickBot="1">
      <c r="A3" s="1"/>
    </row>
    <row r="4" spans="1:9" s="3" customFormat="1" ht="15.75">
      <c r="A4" s="5"/>
      <c r="B4" s="6"/>
      <c r="C4" s="7">
        <v>2003</v>
      </c>
      <c r="D4" s="7"/>
      <c r="E4" s="7"/>
      <c r="F4" s="40"/>
      <c r="G4" s="7" t="s">
        <v>13</v>
      </c>
      <c r="H4" s="7"/>
      <c r="I4" s="8"/>
    </row>
    <row r="5" spans="1:9" s="3" customFormat="1" ht="15.75">
      <c r="A5" s="37" t="s">
        <v>1</v>
      </c>
      <c r="B5" s="38"/>
      <c r="C5" s="38" t="s">
        <v>2</v>
      </c>
      <c r="D5" s="38" t="s">
        <v>3</v>
      </c>
      <c r="E5" s="38" t="s">
        <v>4</v>
      </c>
      <c r="F5" s="41"/>
      <c r="G5" s="38" t="s">
        <v>2</v>
      </c>
      <c r="H5" s="38" t="s">
        <v>3</v>
      </c>
      <c r="I5" s="39" t="s">
        <v>4</v>
      </c>
    </row>
    <row r="6" spans="1:9" s="2" customFormat="1" ht="12.75">
      <c r="A6" s="9" t="s">
        <v>14</v>
      </c>
      <c r="B6" s="10"/>
      <c r="C6" s="10"/>
      <c r="D6" s="10"/>
      <c r="E6" s="10"/>
      <c r="F6" s="42"/>
      <c r="G6" s="10"/>
      <c r="H6" s="10"/>
      <c r="I6" s="11"/>
    </row>
    <row r="7" spans="1:9" s="2" customFormat="1" ht="12.75">
      <c r="A7" s="12" t="s">
        <v>11</v>
      </c>
      <c r="B7" s="13"/>
      <c r="C7" s="13"/>
      <c r="D7" s="13"/>
      <c r="E7" s="13"/>
      <c r="F7" s="43"/>
      <c r="G7" s="13"/>
      <c r="H7" s="13"/>
      <c r="I7" s="14"/>
    </row>
    <row r="8" spans="1:10" s="2" customFormat="1" ht="12.75">
      <c r="A8" s="15"/>
      <c r="B8" s="16" t="s">
        <v>7</v>
      </c>
      <c r="C8" s="17">
        <f>10428+6419+13672</f>
        <v>30519</v>
      </c>
      <c r="D8" s="16"/>
      <c r="E8" s="16"/>
      <c r="F8" s="44"/>
      <c r="G8" s="17">
        <f>38233+23538+27343</f>
        <v>89114</v>
      </c>
      <c r="H8" s="16"/>
      <c r="I8" s="18"/>
      <c r="J8" s="4"/>
    </row>
    <row r="9" spans="1:10" s="2" customFormat="1" ht="12.75">
      <c r="A9" s="15"/>
      <c r="B9" s="16" t="s">
        <v>15</v>
      </c>
      <c r="C9" s="17">
        <v>0</v>
      </c>
      <c r="D9" s="16"/>
      <c r="E9" s="16"/>
      <c r="F9" s="44"/>
      <c r="G9" s="17">
        <v>3000</v>
      </c>
      <c r="H9" s="16"/>
      <c r="I9" s="18"/>
      <c r="J9" s="4"/>
    </row>
    <row r="10" spans="1:9" s="2" customFormat="1" ht="12.75">
      <c r="A10" s="15"/>
      <c r="B10" s="13" t="s">
        <v>10</v>
      </c>
      <c r="C10" s="49">
        <f>SUM(C8)</f>
        <v>30519</v>
      </c>
      <c r="D10" s="13"/>
      <c r="E10" s="13"/>
      <c r="F10" s="43"/>
      <c r="G10" s="49">
        <f>SUM(G8:G9)</f>
        <v>92114</v>
      </c>
      <c r="H10" s="13"/>
      <c r="I10" s="14"/>
    </row>
    <row r="11" spans="1:10" s="2" customFormat="1" ht="12.75">
      <c r="A11" s="15"/>
      <c r="B11" s="13"/>
      <c r="C11" s="19"/>
      <c r="D11" s="16"/>
      <c r="E11" s="16"/>
      <c r="F11" s="44"/>
      <c r="G11" s="17"/>
      <c r="H11" s="16"/>
      <c r="I11" s="18"/>
      <c r="J11" s="4"/>
    </row>
    <row r="12" spans="1:10" s="2" customFormat="1" ht="12.75">
      <c r="A12" s="12" t="s">
        <v>6</v>
      </c>
      <c r="B12" s="13"/>
      <c r="C12" s="19"/>
      <c r="D12" s="16"/>
      <c r="E12" s="16"/>
      <c r="F12" s="44"/>
      <c r="G12" s="17"/>
      <c r="H12" s="16"/>
      <c r="I12" s="18"/>
      <c r="J12" s="4"/>
    </row>
    <row r="13" spans="1:10" s="2" customFormat="1" ht="12.75">
      <c r="A13" s="12"/>
      <c r="B13" s="16" t="s">
        <v>7</v>
      </c>
      <c r="C13" s="17">
        <f>22683+3000+2800</f>
        <v>28483</v>
      </c>
      <c r="D13" s="16"/>
      <c r="E13" s="16"/>
      <c r="F13" s="44"/>
      <c r="G13" s="17">
        <f>45365+4000+5600</f>
        <v>54965</v>
      </c>
      <c r="H13" s="16"/>
      <c r="I13" s="18"/>
      <c r="J13" s="4"/>
    </row>
    <row r="14" spans="1:9" s="2" customFormat="1" ht="12.75">
      <c r="A14" s="50"/>
      <c r="B14" s="13" t="s">
        <v>10</v>
      </c>
      <c r="C14" s="49">
        <f>SUM(C13)</f>
        <v>28483</v>
      </c>
      <c r="D14" s="13"/>
      <c r="E14" s="13"/>
      <c r="F14" s="43"/>
      <c r="G14" s="49">
        <f>SUM(G13)</f>
        <v>54965</v>
      </c>
      <c r="H14" s="13"/>
      <c r="I14" s="14"/>
    </row>
    <row r="15" spans="1:10" s="2" customFormat="1" ht="12.75">
      <c r="A15" s="12"/>
      <c r="B15" s="13"/>
      <c r="C15" s="17"/>
      <c r="D15" s="16"/>
      <c r="E15" s="16"/>
      <c r="F15" s="44"/>
      <c r="G15" s="17"/>
      <c r="H15" s="16"/>
      <c r="I15" s="18"/>
      <c r="J15" s="4"/>
    </row>
    <row r="16" spans="1:10" s="2" customFormat="1" ht="12.75">
      <c r="A16" s="12" t="s">
        <v>23</v>
      </c>
      <c r="B16" s="16"/>
      <c r="C16" s="17">
        <f>C14</f>
        <v>28483</v>
      </c>
      <c r="D16" s="16"/>
      <c r="E16" s="16"/>
      <c r="F16" s="44"/>
      <c r="G16" s="17"/>
      <c r="H16" s="16"/>
      <c r="I16" s="18"/>
      <c r="J16" s="4"/>
    </row>
    <row r="17" spans="1:9" s="2" customFormat="1" ht="12.75">
      <c r="A17" s="61" t="s">
        <v>12</v>
      </c>
      <c r="B17" s="53"/>
      <c r="C17" s="52">
        <f>C10</f>
        <v>30519</v>
      </c>
      <c r="D17" s="53"/>
      <c r="E17" s="53"/>
      <c r="F17" s="63"/>
      <c r="G17" s="52"/>
      <c r="H17" s="53"/>
      <c r="I17" s="54"/>
    </row>
    <row r="18" spans="1:10" s="2" customFormat="1" ht="12.75">
      <c r="A18" s="12"/>
      <c r="B18" s="16"/>
      <c r="C18" s="17"/>
      <c r="D18" s="16"/>
      <c r="E18" s="16"/>
      <c r="F18" s="44"/>
      <c r="G18" s="17"/>
      <c r="H18" s="16"/>
      <c r="I18" s="18"/>
      <c r="J18" s="4"/>
    </row>
    <row r="19" spans="1:10" s="2" customFormat="1" ht="12.75">
      <c r="A19" s="9" t="s">
        <v>25</v>
      </c>
      <c r="B19" s="20"/>
      <c r="C19" s="21"/>
      <c r="D19" s="20"/>
      <c r="E19" s="20"/>
      <c r="F19" s="45"/>
      <c r="G19" s="21"/>
      <c r="H19" s="20"/>
      <c r="I19" s="22"/>
      <c r="J19" s="4"/>
    </row>
    <row r="20" spans="1:10" s="2" customFormat="1" ht="12.75">
      <c r="A20" s="12" t="s">
        <v>11</v>
      </c>
      <c r="B20" s="16"/>
      <c r="C20" s="17"/>
      <c r="D20" s="16"/>
      <c r="E20" s="16"/>
      <c r="F20" s="44"/>
      <c r="G20" s="17"/>
      <c r="H20" s="16"/>
      <c r="I20" s="18"/>
      <c r="J20" s="4"/>
    </row>
    <row r="21" spans="1:10" s="2" customFormat="1" ht="12.75">
      <c r="A21" s="12"/>
      <c r="B21" s="16" t="s">
        <v>7</v>
      </c>
      <c r="C21" s="17">
        <f>1045594-395841</f>
        <v>649753</v>
      </c>
      <c r="D21" s="16">
        <v>11</v>
      </c>
      <c r="E21" s="17">
        <v>524663</v>
      </c>
      <c r="F21" s="44"/>
      <c r="G21" s="23">
        <f>118573+83442+63908+100692+74919+70160+57936+63963+67516+53241+50000</f>
        <v>804350</v>
      </c>
      <c r="H21" s="24">
        <v>11</v>
      </c>
      <c r="I21" s="25"/>
      <c r="J21" s="4"/>
    </row>
    <row r="22" spans="1:10" s="2" customFormat="1" ht="12.75">
      <c r="A22" s="12"/>
      <c r="B22" s="16" t="s">
        <v>26</v>
      </c>
      <c r="C22" s="17">
        <v>395841</v>
      </c>
      <c r="D22" s="16"/>
      <c r="E22" s="16"/>
      <c r="F22" s="44"/>
      <c r="G22" s="23">
        <v>370000</v>
      </c>
      <c r="H22" s="24"/>
      <c r="I22" s="25"/>
      <c r="J22" s="4"/>
    </row>
    <row r="23" spans="1:9" s="2" customFormat="1" ht="12.75">
      <c r="A23" s="50"/>
      <c r="B23" s="13" t="s">
        <v>10</v>
      </c>
      <c r="C23" s="49">
        <f>SUM(C21:C22)</f>
        <v>1045594</v>
      </c>
      <c r="D23" s="51">
        <f>SUM(D21:D22)</f>
        <v>11</v>
      </c>
      <c r="E23" s="51">
        <f>SUM(E21:E22)</f>
        <v>524663</v>
      </c>
      <c r="F23" s="43"/>
      <c r="G23" s="52">
        <f>SUM(G21:G22)</f>
        <v>1174350</v>
      </c>
      <c r="H23" s="53">
        <f>SUM(H21:H22)</f>
        <v>11</v>
      </c>
      <c r="I23" s="54"/>
    </row>
    <row r="24" spans="1:10" s="2" customFormat="1" ht="12.75">
      <c r="A24" s="12"/>
      <c r="B24" s="13"/>
      <c r="C24" s="17"/>
      <c r="D24" s="26"/>
      <c r="E24" s="26"/>
      <c r="F24" s="44"/>
      <c r="G24" s="23"/>
      <c r="H24" s="24"/>
      <c r="I24" s="25"/>
      <c r="J24" s="4"/>
    </row>
    <row r="25" spans="1:10" s="2" customFormat="1" ht="12.75">
      <c r="A25" s="12" t="s">
        <v>6</v>
      </c>
      <c r="B25" s="13"/>
      <c r="C25" s="17"/>
      <c r="D25" s="26"/>
      <c r="E25" s="26"/>
      <c r="F25" s="44"/>
      <c r="G25" s="23"/>
      <c r="H25" s="24"/>
      <c r="I25" s="25"/>
      <c r="J25" s="4"/>
    </row>
    <row r="26" spans="1:10" s="2" customFormat="1" ht="12.75">
      <c r="A26" s="12"/>
      <c r="B26" s="16" t="s">
        <v>7</v>
      </c>
      <c r="C26" s="17">
        <f>132757+122786</f>
        <v>255543</v>
      </c>
      <c r="D26" s="26">
        <v>2</v>
      </c>
      <c r="E26" s="26"/>
      <c r="F26" s="44"/>
      <c r="G26" s="23">
        <f>137403+127084</f>
        <v>264487</v>
      </c>
      <c r="H26" s="24">
        <v>2</v>
      </c>
      <c r="I26" s="25"/>
      <c r="J26" s="4"/>
    </row>
    <row r="27" spans="1:9" s="2" customFormat="1" ht="12.75">
      <c r="A27" s="50"/>
      <c r="B27" s="13" t="s">
        <v>10</v>
      </c>
      <c r="C27" s="49">
        <f>SUM(C26)</f>
        <v>255543</v>
      </c>
      <c r="D27" s="51">
        <f>SUM(D26)</f>
        <v>2</v>
      </c>
      <c r="E27" s="51"/>
      <c r="F27" s="43"/>
      <c r="G27" s="52">
        <f>SUM(G26)</f>
        <v>264487</v>
      </c>
      <c r="H27" s="53">
        <f>SUM(H26)</f>
        <v>2</v>
      </c>
      <c r="I27" s="54"/>
    </row>
    <row r="28" spans="1:10" s="2" customFormat="1" ht="12.75">
      <c r="A28" s="12"/>
      <c r="B28" s="13"/>
      <c r="C28" s="17"/>
      <c r="D28" s="26"/>
      <c r="E28" s="26"/>
      <c r="F28" s="44"/>
      <c r="G28" s="23"/>
      <c r="H28" s="24"/>
      <c r="I28" s="25"/>
      <c r="J28" s="4"/>
    </row>
    <row r="29" spans="1:10" s="2" customFormat="1" ht="12.75">
      <c r="A29" s="12" t="s">
        <v>20</v>
      </c>
      <c r="B29" s="13"/>
      <c r="C29" s="17"/>
      <c r="D29" s="26"/>
      <c r="E29" s="26"/>
      <c r="F29" s="44"/>
      <c r="G29" s="23"/>
      <c r="H29" s="24"/>
      <c r="I29" s="25"/>
      <c r="J29" s="4"/>
    </row>
    <row r="30" spans="1:10" s="2" customFormat="1" ht="12.75">
      <c r="A30" s="12"/>
      <c r="B30" s="16" t="s">
        <v>27</v>
      </c>
      <c r="C30" s="17">
        <v>71600</v>
      </c>
      <c r="D30" s="26"/>
      <c r="E30" s="26"/>
      <c r="F30" s="44"/>
      <c r="G30" s="23"/>
      <c r="H30" s="24"/>
      <c r="I30" s="25"/>
      <c r="J30" s="4"/>
    </row>
    <row r="31" spans="1:10" s="2" customFormat="1" ht="12.75">
      <c r="A31" s="12"/>
      <c r="B31" s="16" t="s">
        <v>28</v>
      </c>
      <c r="C31" s="17">
        <v>150144</v>
      </c>
      <c r="D31" s="26"/>
      <c r="E31" s="26"/>
      <c r="F31" s="44"/>
      <c r="G31" s="23"/>
      <c r="H31" s="24"/>
      <c r="I31" s="25"/>
      <c r="J31" s="4"/>
    </row>
    <row r="32" spans="1:9" s="2" customFormat="1" ht="12.75">
      <c r="A32" s="50"/>
      <c r="B32" s="13" t="s">
        <v>10</v>
      </c>
      <c r="C32" s="49">
        <f>SUM(C30:C31)</f>
        <v>221744</v>
      </c>
      <c r="D32" s="51"/>
      <c r="E32" s="51"/>
      <c r="F32" s="43"/>
      <c r="G32" s="52"/>
      <c r="H32" s="53"/>
      <c r="I32" s="54"/>
    </row>
    <row r="33" spans="1:10" s="2" customFormat="1" ht="12.75">
      <c r="A33" s="12"/>
      <c r="B33" s="13"/>
      <c r="C33" s="17"/>
      <c r="D33" s="26"/>
      <c r="E33" s="26"/>
      <c r="F33" s="44"/>
      <c r="G33" s="23"/>
      <c r="H33" s="24"/>
      <c r="I33" s="25"/>
      <c r="J33" s="4"/>
    </row>
    <row r="34" spans="1:10" s="2" customFormat="1" ht="12.75">
      <c r="A34" s="12" t="s">
        <v>23</v>
      </c>
      <c r="B34" s="13"/>
      <c r="C34" s="17">
        <f>520000+C27</f>
        <v>775543</v>
      </c>
      <c r="D34" s="26"/>
      <c r="E34" s="26"/>
      <c r="F34" s="44"/>
      <c r="G34" s="23"/>
      <c r="H34" s="24"/>
      <c r="I34" s="25"/>
      <c r="J34" s="4"/>
    </row>
    <row r="35" spans="1:9" s="2" customFormat="1" ht="12.75">
      <c r="A35" s="61" t="s">
        <v>24</v>
      </c>
      <c r="B35" s="53"/>
      <c r="C35" s="52">
        <f>C23+C27+C32-C34</f>
        <v>747338</v>
      </c>
      <c r="D35" s="62"/>
      <c r="E35" s="62"/>
      <c r="F35" s="63"/>
      <c r="G35" s="52"/>
      <c r="H35" s="53"/>
      <c r="I35" s="54"/>
    </row>
    <row r="36" spans="1:10" s="2" customFormat="1" ht="12.75">
      <c r="A36" s="12"/>
      <c r="B36" s="16"/>
      <c r="C36" s="17"/>
      <c r="D36" s="16"/>
      <c r="E36" s="16"/>
      <c r="F36" s="44"/>
      <c r="G36" s="17"/>
      <c r="H36" s="16"/>
      <c r="I36" s="18"/>
      <c r="J36" s="4"/>
    </row>
    <row r="37" spans="1:10" s="2" customFormat="1" ht="12.75">
      <c r="A37" s="9" t="s">
        <v>16</v>
      </c>
      <c r="B37" s="20"/>
      <c r="C37" s="21"/>
      <c r="D37" s="20"/>
      <c r="E37" s="20"/>
      <c r="F37" s="45"/>
      <c r="G37" s="21"/>
      <c r="H37" s="20"/>
      <c r="I37" s="22"/>
      <c r="J37" s="4"/>
    </row>
    <row r="38" spans="1:10" s="2" customFormat="1" ht="12.75">
      <c r="A38" s="12" t="s">
        <v>11</v>
      </c>
      <c r="B38" s="16"/>
      <c r="C38" s="17"/>
      <c r="D38" s="16"/>
      <c r="E38" s="16"/>
      <c r="F38" s="44"/>
      <c r="G38" s="17"/>
      <c r="H38" s="16"/>
      <c r="I38" s="18"/>
      <c r="J38" s="4"/>
    </row>
    <row r="39" spans="1:10" s="2" customFormat="1" ht="12.75">
      <c r="A39" s="12"/>
      <c r="B39" s="16" t="s">
        <v>7</v>
      </c>
      <c r="C39" s="17">
        <f>738000+492960+62976+236160</f>
        <v>1530096</v>
      </c>
      <c r="D39" s="16">
        <v>18</v>
      </c>
      <c r="E39" s="16"/>
      <c r="F39" s="44"/>
      <c r="G39" s="17">
        <f>756450+503784+64550+242064</f>
        <v>1566848</v>
      </c>
      <c r="H39" s="16">
        <v>18</v>
      </c>
      <c r="I39" s="18"/>
      <c r="J39" s="4"/>
    </row>
    <row r="40" spans="1:10" s="2" customFormat="1" ht="12.75">
      <c r="A40" s="12"/>
      <c r="B40" s="16" t="s">
        <v>17</v>
      </c>
      <c r="C40" s="17">
        <v>331280</v>
      </c>
      <c r="D40" s="16"/>
      <c r="E40" s="16"/>
      <c r="F40" s="44"/>
      <c r="G40" s="17">
        <v>345000</v>
      </c>
      <c r="H40" s="16"/>
      <c r="I40" s="18"/>
      <c r="J40" s="4"/>
    </row>
    <row r="41" spans="1:10" s="2" customFormat="1" ht="12.75">
      <c r="A41" s="12"/>
      <c r="B41" s="16" t="s">
        <v>18</v>
      </c>
      <c r="C41" s="17">
        <f>1763000</f>
        <v>1763000</v>
      </c>
      <c r="D41" s="16"/>
      <c r="E41" s="16"/>
      <c r="F41" s="44"/>
      <c r="G41" s="17">
        <v>1203000</v>
      </c>
      <c r="H41" s="16"/>
      <c r="I41" s="18"/>
      <c r="J41" s="4"/>
    </row>
    <row r="42" spans="1:10" s="2" customFormat="1" ht="12.75">
      <c r="A42" s="12"/>
      <c r="B42" s="16" t="s">
        <v>19</v>
      </c>
      <c r="C42" s="17">
        <v>21000</v>
      </c>
      <c r="D42" s="16"/>
      <c r="E42" s="16"/>
      <c r="F42" s="44"/>
      <c r="G42" s="17">
        <v>15000</v>
      </c>
      <c r="H42" s="16"/>
      <c r="I42" s="18"/>
      <c r="J42" s="4"/>
    </row>
    <row r="43" spans="1:9" s="2" customFormat="1" ht="12.75">
      <c r="A43" s="50"/>
      <c r="B43" s="13" t="s">
        <v>10</v>
      </c>
      <c r="C43" s="49">
        <f>SUM(C39:C42)</f>
        <v>3645376</v>
      </c>
      <c r="D43" s="13">
        <f>SUM(D39:D42)</f>
        <v>18</v>
      </c>
      <c r="E43" s="13"/>
      <c r="F43" s="43"/>
      <c r="G43" s="49">
        <f>SUM(G39:G42)</f>
        <v>3129848</v>
      </c>
      <c r="H43" s="13">
        <f>SUM(H39:H42)</f>
        <v>18</v>
      </c>
      <c r="I43" s="14"/>
    </row>
    <row r="44" spans="1:10" s="2" customFormat="1" ht="12.75">
      <c r="A44" s="12"/>
      <c r="B44" s="13"/>
      <c r="C44" s="17"/>
      <c r="D44" s="16"/>
      <c r="E44" s="16"/>
      <c r="F44" s="44"/>
      <c r="G44" s="17"/>
      <c r="H44" s="16"/>
      <c r="I44" s="18"/>
      <c r="J44" s="4"/>
    </row>
    <row r="45" spans="1:10" s="2" customFormat="1" ht="12.75">
      <c r="A45" s="12" t="s">
        <v>6</v>
      </c>
      <c r="B45" s="13"/>
      <c r="C45" s="17"/>
      <c r="D45" s="16"/>
      <c r="E45" s="16"/>
      <c r="F45" s="44"/>
      <c r="G45" s="17"/>
      <c r="H45" s="16"/>
      <c r="I45" s="18"/>
      <c r="J45" s="4"/>
    </row>
    <row r="46" spans="1:10" s="2" customFormat="1" ht="12.75">
      <c r="A46" s="12"/>
      <c r="B46" s="16" t="s">
        <v>7</v>
      </c>
      <c r="C46" s="17">
        <f>108222+104982+47000+63000</f>
        <v>323204</v>
      </c>
      <c r="D46" s="16">
        <v>4</v>
      </c>
      <c r="E46" s="16"/>
      <c r="F46" s="44"/>
      <c r="G46" s="17">
        <f>110928+107607+48175+64575</f>
        <v>331285</v>
      </c>
      <c r="H46" s="16">
        <v>4</v>
      </c>
      <c r="I46" s="18"/>
      <c r="J46" s="4"/>
    </row>
    <row r="47" spans="1:9" s="2" customFormat="1" ht="12.75">
      <c r="A47" s="50"/>
      <c r="B47" s="13" t="s">
        <v>10</v>
      </c>
      <c r="C47" s="49">
        <f>SUM(C46)</f>
        <v>323204</v>
      </c>
      <c r="D47" s="13">
        <f>SUM(D46)</f>
        <v>4</v>
      </c>
      <c r="E47" s="13"/>
      <c r="F47" s="43"/>
      <c r="G47" s="49">
        <f>SUM(G46)</f>
        <v>331285</v>
      </c>
      <c r="H47" s="13">
        <f>SUM(H46)</f>
        <v>4</v>
      </c>
      <c r="I47" s="14"/>
    </row>
    <row r="48" spans="1:10" s="2" customFormat="1" ht="12.75">
      <c r="A48" s="12"/>
      <c r="B48" s="13"/>
      <c r="C48" s="17"/>
      <c r="D48" s="16"/>
      <c r="E48" s="16"/>
      <c r="F48" s="44"/>
      <c r="G48" s="17"/>
      <c r="H48" s="16"/>
      <c r="I48" s="18"/>
      <c r="J48" s="4"/>
    </row>
    <row r="49" spans="1:10" s="2" customFormat="1" ht="12.75">
      <c r="A49" s="12" t="s">
        <v>20</v>
      </c>
      <c r="B49" s="13"/>
      <c r="C49" s="17"/>
      <c r="D49" s="16"/>
      <c r="E49" s="16"/>
      <c r="F49" s="44"/>
      <c r="G49" s="17"/>
      <c r="H49" s="16"/>
      <c r="I49" s="18"/>
      <c r="J49" s="4"/>
    </row>
    <row r="50" spans="1:10" s="2" customFormat="1" ht="12.75">
      <c r="A50" s="12"/>
      <c r="B50" s="16" t="s">
        <v>21</v>
      </c>
      <c r="C50" s="17">
        <v>11206</v>
      </c>
      <c r="D50" s="16"/>
      <c r="E50" s="16"/>
      <c r="F50" s="44"/>
      <c r="G50" s="17"/>
      <c r="H50" s="16"/>
      <c r="I50" s="18"/>
      <c r="J50" s="4"/>
    </row>
    <row r="51" spans="1:10" s="2" customFormat="1" ht="12.75">
      <c r="A51" s="12"/>
      <c r="B51" s="16" t="s">
        <v>22</v>
      </c>
      <c r="C51" s="17">
        <v>27250</v>
      </c>
      <c r="D51" s="16"/>
      <c r="E51" s="16"/>
      <c r="F51" s="44"/>
      <c r="G51" s="17"/>
      <c r="H51" s="16"/>
      <c r="I51" s="18"/>
      <c r="J51" s="4"/>
    </row>
    <row r="52" spans="1:10" s="2" customFormat="1" ht="12.75">
      <c r="A52" s="12"/>
      <c r="B52" s="16" t="s">
        <v>17</v>
      </c>
      <c r="C52" s="17">
        <v>468229</v>
      </c>
      <c r="D52" s="16"/>
      <c r="E52" s="16"/>
      <c r="F52" s="44"/>
      <c r="G52" s="17"/>
      <c r="H52" s="16"/>
      <c r="I52" s="18"/>
      <c r="J52" s="4"/>
    </row>
    <row r="53" spans="1:9" s="2" customFormat="1" ht="12.75">
      <c r="A53" s="50"/>
      <c r="B53" s="13" t="s">
        <v>10</v>
      </c>
      <c r="C53" s="49">
        <f>SUM(C50:C52)</f>
        <v>506685</v>
      </c>
      <c r="D53" s="13"/>
      <c r="E53" s="13"/>
      <c r="F53" s="43"/>
      <c r="G53" s="49"/>
      <c r="H53" s="13"/>
      <c r="I53" s="14"/>
    </row>
    <row r="54" spans="1:10" s="2" customFormat="1" ht="12.75">
      <c r="A54" s="12"/>
      <c r="B54" s="13"/>
      <c r="C54" s="17"/>
      <c r="D54" s="16"/>
      <c r="E54" s="16"/>
      <c r="F54" s="44"/>
      <c r="G54" s="17"/>
      <c r="H54" s="16"/>
      <c r="I54" s="18"/>
      <c r="J54" s="4"/>
    </row>
    <row r="55" spans="1:10" s="2" customFormat="1" ht="12.75">
      <c r="A55" s="12" t="s">
        <v>23</v>
      </c>
      <c r="B55" s="13"/>
      <c r="C55" s="17">
        <f>C47+2000000</f>
        <v>2323204</v>
      </c>
      <c r="D55" s="16"/>
      <c r="E55" s="16"/>
      <c r="F55" s="44"/>
      <c r="G55" s="17"/>
      <c r="H55" s="16"/>
      <c r="I55" s="18"/>
      <c r="J55" s="4"/>
    </row>
    <row r="56" spans="1:9" s="2" customFormat="1" ht="12.75">
      <c r="A56" s="61" t="s">
        <v>24</v>
      </c>
      <c r="B56" s="53"/>
      <c r="C56" s="52">
        <f>C43+C47+C53-C55</f>
        <v>2152061</v>
      </c>
      <c r="D56" s="53"/>
      <c r="E56" s="53"/>
      <c r="F56" s="63"/>
      <c r="G56" s="52"/>
      <c r="H56" s="53"/>
      <c r="I56" s="54"/>
    </row>
    <row r="57" spans="1:10" s="2" customFormat="1" ht="12.75">
      <c r="A57" s="12"/>
      <c r="B57" s="13"/>
      <c r="C57" s="17"/>
      <c r="D57" s="16"/>
      <c r="E57" s="16"/>
      <c r="F57" s="44"/>
      <c r="G57" s="17"/>
      <c r="H57" s="16"/>
      <c r="I57" s="18"/>
      <c r="J57" s="4"/>
    </row>
    <row r="58" spans="1:10" s="2" customFormat="1" ht="12.75">
      <c r="A58" s="9" t="s">
        <v>29</v>
      </c>
      <c r="B58" s="10"/>
      <c r="C58" s="21"/>
      <c r="D58" s="20"/>
      <c r="E58" s="20"/>
      <c r="F58" s="45"/>
      <c r="G58" s="21"/>
      <c r="H58" s="20"/>
      <c r="I58" s="22"/>
      <c r="J58" s="4"/>
    </row>
    <row r="59" spans="1:10" s="2" customFormat="1" ht="12.75">
      <c r="A59" s="12" t="s">
        <v>11</v>
      </c>
      <c r="B59" s="13"/>
      <c r="C59" s="17"/>
      <c r="D59" s="16"/>
      <c r="E59" s="16"/>
      <c r="F59" s="44"/>
      <c r="G59" s="17"/>
      <c r="H59" s="16"/>
      <c r="I59" s="18"/>
      <c r="J59" s="4"/>
    </row>
    <row r="60" spans="1:10" s="2" customFormat="1" ht="12.75">
      <c r="A60" s="12"/>
      <c r="B60" s="16" t="s">
        <v>7</v>
      </c>
      <c r="C60" s="17">
        <f>82883+126110+324656+41118+32135+30691+37992+44878+46200+37818+282965+8637+87742</f>
        <v>1183825</v>
      </c>
      <c r="D60" s="16">
        <v>16</v>
      </c>
      <c r="E60" s="17">
        <v>598510</v>
      </c>
      <c r="F60" s="44"/>
      <c r="G60" s="17">
        <f>87136+72164+482279+42779+33434+31931+39527+62340+53466+38953+335415</f>
        <v>1279424</v>
      </c>
      <c r="H60" s="16">
        <v>16</v>
      </c>
      <c r="I60" s="27">
        <v>586773</v>
      </c>
      <c r="J60" s="4"/>
    </row>
    <row r="61" spans="1:10" s="2" customFormat="1" ht="12.75">
      <c r="A61" s="12"/>
      <c r="B61" s="16" t="s">
        <v>30</v>
      </c>
      <c r="C61" s="17">
        <f>21000+21000+50000+130000+27000+14863+110250</f>
        <v>374113</v>
      </c>
      <c r="D61" s="16"/>
      <c r="E61" s="17">
        <v>163004</v>
      </c>
      <c r="F61" s="44"/>
      <c r="G61" s="17">
        <f>26000+21000+50000+5000+130000+30000+15000+105057-10000</f>
        <v>372057</v>
      </c>
      <c r="H61" s="16"/>
      <c r="I61" s="27">
        <v>500000</v>
      </c>
      <c r="J61" s="4"/>
    </row>
    <row r="62" spans="1:9" s="2" customFormat="1" ht="12.75">
      <c r="A62" s="50"/>
      <c r="B62" s="13" t="s">
        <v>10</v>
      </c>
      <c r="C62" s="49">
        <f>SUM(C60:C61)</f>
        <v>1557938</v>
      </c>
      <c r="D62" s="13"/>
      <c r="E62" s="49">
        <f>SUM(E60:E61)</f>
        <v>761514</v>
      </c>
      <c r="F62" s="43"/>
      <c r="G62" s="49">
        <f>SUM(G60:G61)</f>
        <v>1651481</v>
      </c>
      <c r="H62" s="13"/>
      <c r="I62" s="55">
        <f>SUM(I60:I61)</f>
        <v>1086773</v>
      </c>
    </row>
    <row r="63" spans="1:10" s="2" customFormat="1" ht="12.75">
      <c r="A63" s="12"/>
      <c r="B63" s="13"/>
      <c r="C63" s="17"/>
      <c r="D63" s="16"/>
      <c r="E63" s="16"/>
      <c r="F63" s="44"/>
      <c r="G63" s="17"/>
      <c r="H63" s="16"/>
      <c r="I63" s="18"/>
      <c r="J63" s="4"/>
    </row>
    <row r="64" spans="1:10" s="2" customFormat="1" ht="12.75">
      <c r="A64" s="12" t="s">
        <v>6</v>
      </c>
      <c r="B64" s="16"/>
      <c r="C64" s="17"/>
      <c r="D64" s="16"/>
      <c r="E64" s="16"/>
      <c r="F64" s="44"/>
      <c r="G64" s="17"/>
      <c r="H64" s="16"/>
      <c r="I64" s="18"/>
      <c r="J64" s="4"/>
    </row>
    <row r="65" spans="1:10" s="2" customFormat="1" ht="12.75">
      <c r="A65" s="12"/>
      <c r="B65" s="16" t="s">
        <v>7</v>
      </c>
      <c r="C65" s="17">
        <v>396823</v>
      </c>
      <c r="D65" s="16">
        <v>3</v>
      </c>
      <c r="E65" s="16"/>
      <c r="F65" s="44"/>
      <c r="G65" s="17">
        <v>62340</v>
      </c>
      <c r="H65" s="16">
        <v>1</v>
      </c>
      <c r="I65" s="18"/>
      <c r="J65" s="4"/>
    </row>
    <row r="66" spans="1:10" s="2" customFormat="1" ht="12.75">
      <c r="A66" s="12"/>
      <c r="B66" s="16" t="s">
        <v>30</v>
      </c>
      <c r="C66" s="17">
        <v>10000</v>
      </c>
      <c r="D66" s="16"/>
      <c r="E66" s="16"/>
      <c r="F66" s="44"/>
      <c r="G66" s="17">
        <v>10000</v>
      </c>
      <c r="H66" s="16"/>
      <c r="I66" s="18"/>
      <c r="J66" s="4"/>
    </row>
    <row r="67" spans="1:9" s="2" customFormat="1" ht="12.75">
      <c r="A67" s="50"/>
      <c r="B67" s="13" t="s">
        <v>10</v>
      </c>
      <c r="C67" s="49">
        <f>SUM(C65:C66)</f>
        <v>406823</v>
      </c>
      <c r="D67" s="51"/>
      <c r="E67" s="13"/>
      <c r="F67" s="43"/>
      <c r="G67" s="49">
        <f>SUM(G65:G66)</f>
        <v>72340</v>
      </c>
      <c r="H67" s="13"/>
      <c r="I67" s="14"/>
    </row>
    <row r="68" spans="1:10" s="2" customFormat="1" ht="12.75">
      <c r="A68" s="12"/>
      <c r="B68" s="13"/>
      <c r="C68" s="17"/>
      <c r="D68" s="26"/>
      <c r="E68" s="16"/>
      <c r="F68" s="44"/>
      <c r="G68" s="17"/>
      <c r="H68" s="16"/>
      <c r="I68" s="18"/>
      <c r="J68" s="4"/>
    </row>
    <row r="69" spans="1:10" s="2" customFormat="1" ht="12.75">
      <c r="A69" s="12" t="s">
        <v>31</v>
      </c>
      <c r="B69" s="13"/>
      <c r="C69" s="17"/>
      <c r="D69" s="26">
        <v>2</v>
      </c>
      <c r="E69" s="16"/>
      <c r="F69" s="44"/>
      <c r="G69" s="17"/>
      <c r="H69" s="16"/>
      <c r="I69" s="18"/>
      <c r="J69" s="4"/>
    </row>
    <row r="70" spans="1:10" s="2" customFormat="1" ht="12.75">
      <c r="A70" s="12"/>
      <c r="B70" s="13"/>
      <c r="C70" s="17"/>
      <c r="D70" s="26"/>
      <c r="E70" s="16"/>
      <c r="F70" s="44"/>
      <c r="G70" s="17"/>
      <c r="H70" s="16"/>
      <c r="I70" s="18"/>
      <c r="J70" s="4"/>
    </row>
    <row r="71" spans="1:10" s="2" customFormat="1" ht="12.75">
      <c r="A71" s="12" t="s">
        <v>23</v>
      </c>
      <c r="B71" s="13"/>
      <c r="C71" s="17">
        <f>C62-777938+C67</f>
        <v>1186823</v>
      </c>
      <c r="D71" s="26"/>
      <c r="E71" s="16"/>
      <c r="F71" s="44"/>
      <c r="G71" s="17"/>
      <c r="H71" s="16"/>
      <c r="I71" s="18"/>
      <c r="J71" s="4"/>
    </row>
    <row r="72" spans="1:9" s="2" customFormat="1" ht="12.75">
      <c r="A72" s="61" t="s">
        <v>24</v>
      </c>
      <c r="B72" s="53"/>
      <c r="C72" s="52">
        <f>C62+C67-C71</f>
        <v>777938</v>
      </c>
      <c r="D72" s="62"/>
      <c r="E72" s="53"/>
      <c r="F72" s="63"/>
      <c r="G72" s="52"/>
      <c r="H72" s="53"/>
      <c r="I72" s="54"/>
    </row>
    <row r="73" spans="1:9" s="4" customFormat="1" ht="12.75">
      <c r="A73" s="28"/>
      <c r="B73" s="16"/>
      <c r="C73" s="16"/>
      <c r="D73" s="16"/>
      <c r="E73" s="16"/>
      <c r="F73" s="44"/>
      <c r="G73" s="16"/>
      <c r="H73" s="16"/>
      <c r="I73" s="18"/>
    </row>
    <row r="74" spans="1:10" ht="12.75">
      <c r="A74" s="9" t="s">
        <v>5</v>
      </c>
      <c r="B74" s="29"/>
      <c r="C74" s="20"/>
      <c r="D74" s="20"/>
      <c r="E74" s="20"/>
      <c r="F74" s="45"/>
      <c r="G74" s="20"/>
      <c r="H74" s="20"/>
      <c r="I74" s="22"/>
      <c r="J74" s="4"/>
    </row>
    <row r="75" spans="1:10" ht="12.75">
      <c r="A75" s="12" t="s">
        <v>11</v>
      </c>
      <c r="B75" s="30"/>
      <c r="C75" s="16"/>
      <c r="D75" s="16"/>
      <c r="E75" s="16"/>
      <c r="F75" s="44"/>
      <c r="G75" s="16"/>
      <c r="H75" s="16"/>
      <c r="I75" s="18"/>
      <c r="J75" s="4"/>
    </row>
    <row r="76" spans="1:9" ht="12.75">
      <c r="A76" s="31"/>
      <c r="B76" s="30" t="s">
        <v>7</v>
      </c>
      <c r="C76" s="32">
        <f>13417+2207+7612+11000+30945+44377+2184+5154</f>
        <v>116896</v>
      </c>
      <c r="D76" s="30"/>
      <c r="E76" s="30"/>
      <c r="F76" s="46"/>
      <c r="G76" s="30">
        <f>58547+4415+34599+48000+53912+71867+7097+14172</f>
        <v>292609</v>
      </c>
      <c r="H76" s="30"/>
      <c r="I76" s="33"/>
    </row>
    <row r="77" spans="1:9" ht="12.75">
      <c r="A77" s="31"/>
      <c r="B77" s="30" t="s">
        <v>8</v>
      </c>
      <c r="C77" s="32">
        <f>25100+540</f>
        <v>25640</v>
      </c>
      <c r="D77" s="30"/>
      <c r="E77" s="30"/>
      <c r="F77" s="46"/>
      <c r="G77" s="30">
        <f>2000+93223+480</f>
        <v>95703</v>
      </c>
      <c r="H77" s="30"/>
      <c r="I77" s="33"/>
    </row>
    <row r="78" spans="1:9" ht="12.75">
      <c r="A78" s="31"/>
      <c r="B78" s="30" t="s">
        <v>9</v>
      </c>
      <c r="C78" s="32">
        <f>10000+10918+4000+3000+5000+5500+7500+2500+3057</f>
        <v>51475</v>
      </c>
      <c r="D78" s="30"/>
      <c r="E78" s="30"/>
      <c r="F78" s="46"/>
      <c r="G78" s="30">
        <f>7980+4500+5000+3500</f>
        <v>20980</v>
      </c>
      <c r="H78" s="30"/>
      <c r="I78" s="33"/>
    </row>
    <row r="79" spans="1:9" s="2" customFormat="1" ht="12.75">
      <c r="A79" s="15"/>
      <c r="B79" s="13" t="s">
        <v>10</v>
      </c>
      <c r="C79" s="49">
        <f>SUM(C76:C78)</f>
        <v>194011</v>
      </c>
      <c r="D79" s="13"/>
      <c r="E79" s="13"/>
      <c r="F79" s="43"/>
      <c r="G79" s="13">
        <f>SUM(G76:G78)</f>
        <v>409292</v>
      </c>
      <c r="H79" s="13"/>
      <c r="I79" s="14"/>
    </row>
    <row r="80" spans="1:9" ht="12.75">
      <c r="A80" s="31"/>
      <c r="B80" s="30"/>
      <c r="C80" s="30"/>
      <c r="D80" s="30"/>
      <c r="E80" s="30"/>
      <c r="F80" s="46"/>
      <c r="G80" s="30"/>
      <c r="H80" s="30"/>
      <c r="I80" s="33"/>
    </row>
    <row r="81" spans="1:9" ht="12.75">
      <c r="A81" s="12" t="s">
        <v>6</v>
      </c>
      <c r="B81" s="30"/>
      <c r="C81" s="30"/>
      <c r="D81" s="30"/>
      <c r="E81" s="30"/>
      <c r="F81" s="46"/>
      <c r="G81" s="30"/>
      <c r="H81" s="30"/>
      <c r="I81" s="33"/>
    </row>
    <row r="82" spans="1:9" ht="12.75">
      <c r="A82" s="31"/>
      <c r="B82" s="30" t="s">
        <v>7</v>
      </c>
      <c r="C82" s="32">
        <f>30493+28391+36330+16584</f>
        <v>111798</v>
      </c>
      <c r="D82" s="30"/>
      <c r="E82" s="30"/>
      <c r="F82" s="46"/>
      <c r="G82" s="30">
        <f>60986+51757+72067+16916</f>
        <v>201726</v>
      </c>
      <c r="H82" s="30"/>
      <c r="I82" s="33"/>
    </row>
    <row r="83" spans="1:9" ht="12.75">
      <c r="A83" s="31"/>
      <c r="B83" s="30" t="s">
        <v>8</v>
      </c>
      <c r="C83" s="32">
        <v>527</v>
      </c>
      <c r="D83" s="30"/>
      <c r="E83" s="30"/>
      <c r="F83" s="46"/>
      <c r="G83" s="30"/>
      <c r="H83" s="30"/>
      <c r="I83" s="33"/>
    </row>
    <row r="84" spans="1:9" ht="12.75">
      <c r="A84" s="31"/>
      <c r="B84" s="30" t="s">
        <v>9</v>
      </c>
      <c r="C84" s="32">
        <f>726+756</f>
        <v>1482</v>
      </c>
      <c r="D84" s="30"/>
      <c r="E84" s="30"/>
      <c r="F84" s="46"/>
      <c r="G84" s="30"/>
      <c r="H84" s="30"/>
      <c r="I84" s="33"/>
    </row>
    <row r="85" spans="1:9" s="2" customFormat="1" ht="12.75">
      <c r="A85" s="15"/>
      <c r="B85" s="13" t="s">
        <v>10</v>
      </c>
      <c r="C85" s="49">
        <f>SUM(C82:C84)</f>
        <v>113807</v>
      </c>
      <c r="D85" s="13"/>
      <c r="E85" s="13"/>
      <c r="F85" s="43"/>
      <c r="G85" s="13">
        <f>SUM(G82:G84)</f>
        <v>201726</v>
      </c>
      <c r="H85" s="13"/>
      <c r="I85" s="14"/>
    </row>
    <row r="86" spans="1:9" ht="12.75">
      <c r="A86" s="31"/>
      <c r="B86" s="30"/>
      <c r="C86" s="30"/>
      <c r="D86" s="30"/>
      <c r="E86" s="30"/>
      <c r="F86" s="46"/>
      <c r="G86" s="30"/>
      <c r="H86" s="30"/>
      <c r="I86" s="33"/>
    </row>
    <row r="87" spans="1:9" ht="12.75">
      <c r="A87" s="12" t="s">
        <v>32</v>
      </c>
      <c r="B87" s="30"/>
      <c r="C87" s="34">
        <f>C85</f>
        <v>113807</v>
      </c>
      <c r="D87" s="30"/>
      <c r="E87" s="30"/>
      <c r="F87" s="46"/>
      <c r="G87" s="30"/>
      <c r="H87" s="30"/>
      <c r="I87" s="33"/>
    </row>
    <row r="88" spans="1:9" s="2" customFormat="1" ht="12.75">
      <c r="A88" s="61" t="s">
        <v>12</v>
      </c>
      <c r="B88" s="53"/>
      <c r="C88" s="62">
        <f>C79</f>
        <v>194011</v>
      </c>
      <c r="D88" s="53"/>
      <c r="E88" s="53"/>
      <c r="F88" s="63"/>
      <c r="G88" s="53"/>
      <c r="H88" s="53"/>
      <c r="I88" s="54"/>
    </row>
    <row r="89" spans="1:9" ht="12.75">
      <c r="A89" s="31"/>
      <c r="B89" s="30"/>
      <c r="C89" s="30"/>
      <c r="D89" s="30"/>
      <c r="E89" s="30"/>
      <c r="F89" s="46"/>
      <c r="G89" s="30"/>
      <c r="H89" s="30"/>
      <c r="I89" s="33"/>
    </row>
    <row r="90" spans="1:9" ht="12.75">
      <c r="A90" s="9" t="s">
        <v>10</v>
      </c>
      <c r="B90" s="29"/>
      <c r="C90" s="29"/>
      <c r="D90" s="29"/>
      <c r="E90" s="29"/>
      <c r="F90" s="47"/>
      <c r="G90" s="29"/>
      <c r="H90" s="29"/>
      <c r="I90" s="35"/>
    </row>
    <row r="91" spans="1:9" ht="12.75">
      <c r="A91" s="12" t="s">
        <v>11</v>
      </c>
      <c r="B91" s="30"/>
      <c r="C91" s="34">
        <f>C10+C23+C43+C62+C79</f>
        <v>6473438</v>
      </c>
      <c r="D91" s="34">
        <f aca="true" t="shared" si="0" ref="D91:I91">D10+D23+D43+D62+D79</f>
        <v>29</v>
      </c>
      <c r="E91" s="34">
        <f t="shared" si="0"/>
        <v>1286177</v>
      </c>
      <c r="F91" s="48">
        <f t="shared" si="0"/>
        <v>0</v>
      </c>
      <c r="G91" s="34">
        <f t="shared" si="0"/>
        <v>6457085</v>
      </c>
      <c r="H91" s="34">
        <f t="shared" si="0"/>
        <v>29</v>
      </c>
      <c r="I91" s="36">
        <f t="shared" si="0"/>
        <v>1086773</v>
      </c>
    </row>
    <row r="92" spans="1:9" ht="12.75">
      <c r="A92" s="12" t="s">
        <v>6</v>
      </c>
      <c r="B92" s="30"/>
      <c r="C92" s="34">
        <f>C14+C27+C47+C67+C85</f>
        <v>1127860</v>
      </c>
      <c r="D92" s="34">
        <f aca="true" t="shared" si="1" ref="D92:I92">D14+D27+D47+D67+D85</f>
        <v>6</v>
      </c>
      <c r="E92" s="34">
        <f t="shared" si="1"/>
        <v>0</v>
      </c>
      <c r="F92" s="48">
        <f t="shared" si="1"/>
        <v>0</v>
      </c>
      <c r="G92" s="34">
        <f t="shared" si="1"/>
        <v>924803</v>
      </c>
      <c r="H92" s="34">
        <f t="shared" si="1"/>
        <v>6</v>
      </c>
      <c r="I92" s="36">
        <f t="shared" si="1"/>
        <v>0</v>
      </c>
    </row>
    <row r="93" spans="1:9" ht="12.75">
      <c r="A93" s="12" t="s">
        <v>20</v>
      </c>
      <c r="B93" s="30"/>
      <c r="C93" s="34">
        <f>C32+C53</f>
        <v>728429</v>
      </c>
      <c r="D93" s="34">
        <f aca="true" t="shared" si="2" ref="D93:I93">D32+D53</f>
        <v>0</v>
      </c>
      <c r="E93" s="34">
        <f t="shared" si="2"/>
        <v>0</v>
      </c>
      <c r="F93" s="48">
        <f t="shared" si="2"/>
        <v>0</v>
      </c>
      <c r="G93" s="34">
        <f t="shared" si="2"/>
        <v>0</v>
      </c>
      <c r="H93" s="34">
        <f t="shared" si="2"/>
        <v>0</v>
      </c>
      <c r="I93" s="36">
        <f t="shared" si="2"/>
        <v>0</v>
      </c>
    </row>
    <row r="94" spans="1:9" ht="12.75">
      <c r="A94" s="12"/>
      <c r="B94" s="30"/>
      <c r="C94" s="30"/>
      <c r="D94" s="30"/>
      <c r="E94" s="30"/>
      <c r="F94" s="46"/>
      <c r="G94" s="30"/>
      <c r="H94" s="30"/>
      <c r="I94" s="33"/>
    </row>
    <row r="95" spans="1:9" ht="12.75">
      <c r="A95" s="12" t="s">
        <v>32</v>
      </c>
      <c r="B95" s="30"/>
      <c r="C95" s="34">
        <f>C16+C34+C55+C71+C87</f>
        <v>4427860</v>
      </c>
      <c r="D95" s="34">
        <f aca="true" t="shared" si="3" ref="D95:I95">D16+D34+D55+D71+D87</f>
        <v>0</v>
      </c>
      <c r="E95" s="34">
        <f t="shared" si="3"/>
        <v>0</v>
      </c>
      <c r="F95" s="48">
        <f t="shared" si="3"/>
        <v>0</v>
      </c>
      <c r="G95" s="34">
        <f t="shared" si="3"/>
        <v>0</v>
      </c>
      <c r="H95" s="34">
        <f t="shared" si="3"/>
        <v>0</v>
      </c>
      <c r="I95" s="36">
        <f t="shared" si="3"/>
        <v>0</v>
      </c>
    </row>
    <row r="96" spans="1:9" s="2" customFormat="1" ht="13.5" thickBot="1">
      <c r="A96" s="56" t="s">
        <v>12</v>
      </c>
      <c r="B96" s="57"/>
      <c r="C96" s="58">
        <f>C17+C35+C56+C72+C88</f>
        <v>3901867</v>
      </c>
      <c r="D96" s="58">
        <f aca="true" t="shared" si="4" ref="D96:I96">D17+D35+D56+D72+D88</f>
        <v>0</v>
      </c>
      <c r="E96" s="58">
        <f t="shared" si="4"/>
        <v>0</v>
      </c>
      <c r="F96" s="59">
        <f t="shared" si="4"/>
        <v>0</v>
      </c>
      <c r="G96" s="58">
        <f t="shared" si="4"/>
        <v>0</v>
      </c>
      <c r="H96" s="58">
        <f t="shared" si="4"/>
        <v>0</v>
      </c>
      <c r="I96" s="60">
        <f t="shared" si="4"/>
        <v>0</v>
      </c>
    </row>
  </sheetData>
  <printOptions/>
  <pageMargins left="0.75" right="0.75" top="1" bottom="1" header="0.5" footer="0.5"/>
  <pageSetup fitToHeight="1" fitToWidth="1" horizontalDpi="600" verticalDpi="600" orientation="portrait" paperSize="5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goldbebe</dc:creator>
  <cp:keywords/>
  <dc:description/>
  <cp:lastModifiedBy>Angel Allende</cp:lastModifiedBy>
  <cp:lastPrinted>2003-03-13T15:34:49Z</cp:lastPrinted>
  <dcterms:created xsi:type="dcterms:W3CDTF">2003-03-07T17:55:42Z</dcterms:created>
  <dcterms:modified xsi:type="dcterms:W3CDTF">2003-04-16T18:17:51Z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590150224</vt:i4>
  </property>
  <property fmtid="{D5CDD505-2E9C-101B-9397-08002B2CF9AE}" pid="3" name="_EmailSubject">
    <vt:lpwstr>The Final Ridgway Package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-982461767</vt:i4>
  </property>
  <property fmtid="{D5CDD505-2E9C-101B-9397-08002B2CF9AE}" pid="7" name="_ReviewingToolsShownOnce">
    <vt:lpwstr/>
  </property>
</Properties>
</file>