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activeTab="0"/>
  </bookViews>
  <sheets>
    <sheet name="CFT 2003 Revised" sheetId="1" r:id="rId1"/>
    <sheet name="jw_appropriation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e">'[4]WTD Council Adopted Fin Plan '!#REF!</definedName>
    <definedName name="\p">'[4]WTD Council Adopted Fin Plan '!#REF!</definedName>
    <definedName name="\t">'[4]WTD Council Adopted Fin Plan '!#REF!</definedName>
    <definedName name="_1">#REF!</definedName>
    <definedName name="_93GRANTS">'[4]WTD Council Adopted Fin Plan '!#REF!</definedName>
    <definedName name="AGAIN">'[4]WTD Council Adopted Fin Plan '!#REF!</definedName>
    <definedName name="ALTERNATIVES">'[4]WTD Council Adopted Fin Plan '!#REF!</definedName>
    <definedName name="BACKUP">'[4]WTD Council Adopted Fin Plan '!#REF!</definedName>
    <definedName name="BKUP">'[4]WTD Council Adopted Fin Plan '!#REF!</definedName>
    <definedName name="BONDRATE">'[4]WTD Council Adopted Fin Plan '!#REF!</definedName>
    <definedName name="bud99">#REF!</definedName>
    <definedName name="CAPINFLATION">'[4]WTD Council Adopted Fin Plan '!#REF!</definedName>
    <definedName name="CAPITAL">'[4]WTD Council Adopted Fin Plan '!#REF!</definedName>
    <definedName name="CAPRED">'[4]WTD Council Adopted Fin Plan '!#REF!</definedName>
    <definedName name="CASE1">'[4]WTD Council Adopted Fin Plan '!#REF!</definedName>
    <definedName name="CASE2">'[4]WTD Council Adopted Fin Plan '!#REF!</definedName>
    <definedName name="CASE3">'[4]WTD Council Adopted Fin Plan '!#REF!</definedName>
    <definedName name="CE">'[4]WTD Council Adopted Fin Plan '!#REF!</definedName>
    <definedName name="CHART">'[4]WTD Council Adopted Fin Plan '!#REF!</definedName>
    <definedName name="COL">'[4]WTD Council Adopted Fin Plan '!#REF!</definedName>
    <definedName name="COLUMN">'[4]WTD Council Adopted Fin Plan '!#REF!</definedName>
    <definedName name="COPY">'[4]WTD Council Adopted Fin Plan '!#REF!</definedName>
    <definedName name="COPYDS">'[4]WTD Council Adopted Fin Plan '!#REF!</definedName>
    <definedName name="D.S.FACT">'[4]WTD Council Adopted Fin Plan '!#REF!</definedName>
    <definedName name="DEBTDET">'[4]WTD Council Adopted Fin Plan '!#REF!</definedName>
    <definedName name="DEBTSVC">'[4]WTD Council Adopted Fin Plan '!#REF!</definedName>
    <definedName name="DSR">'[4]WTD Council Adopted Fin Plan '!#REF!</definedName>
    <definedName name="EIGHT">'[4]WTD Council Adopted Fin Plan '!#REF!</definedName>
    <definedName name="ENINFLATION">'[4]WTD Council Adopted Fin Plan '!#REF!</definedName>
    <definedName name="EXPORT">'[4]WTD Council Adopted Fin Plan '!#REF!</definedName>
    <definedName name="FIVE">'[4]WTD Council Adopted Fin Plan '!#REF!</definedName>
    <definedName name="FLAG">'[4]WTD Council Adopted Fin Plan '!#REF!</definedName>
    <definedName name="FOUR">'[4]WTD Council Adopted Fin Plan '!#REF!</definedName>
    <definedName name="FTEs">'[3]QryFTE'!$B$4:$J$125</definedName>
    <definedName name="FUTRCE">'[4]WTD Council Adopted Fin Plan '!#REF!</definedName>
    <definedName name="GRANTS">'[4]WTD Council Adopted Fin Plan '!#REF!</definedName>
    <definedName name="I_I">#REF!</definedName>
    <definedName name="INFLATION">'[4]WTD Council Adopted Fin Plan '!#REF!</definedName>
    <definedName name="INTRATE">'[4]WTD Council Adopted Fin Plan '!#REF!</definedName>
    <definedName name="ISSUDATE">'[4]WTD Council Adopted Fin Plan '!#REF!</definedName>
    <definedName name="ISSUECOST">'[4]WTD Council Adopted Fin Plan '!#REF!</definedName>
    <definedName name="L1_">#REF!</definedName>
    <definedName name="L2_">#REF!</definedName>
    <definedName name="L3_">#REF!</definedName>
    <definedName name="LOOP">'[4]WTD Council Adopted Fin Plan '!#REF!</definedName>
    <definedName name="MACRO">'[4]WTD Council Adopted Fin Plan '!#REF!</definedName>
    <definedName name="Macro1_PRINT">#REF!</definedName>
    <definedName name="NEXT1">'[4]WTD Council Adopted Fin Plan '!#REF!</definedName>
    <definedName name="No_I_I">#REF!</definedName>
    <definedName name="notes">#REF!</definedName>
    <definedName name="ONE">'[4]WTD Council Adopted Fin Plan '!#REF!</definedName>
    <definedName name="OrdinanceInfo">#REF!</definedName>
    <definedName name="PORK">'[4]WTD Council Adopted Fin Plan '!#REF!</definedName>
    <definedName name="_xlnm.Print_Area" localSheetId="0">'CFT 2003 Revised'!$A$1:$U$121</definedName>
    <definedName name="Print_Area_MI">'[4]WTD Council Adopted Fin Plan '!#REF!</definedName>
    <definedName name="QryTLPMerge">#REF!</definedName>
    <definedName name="RCE">'[4]WTD Council Adopted Fin Plan '!#REF!</definedName>
    <definedName name="run_description">'[4]WTD Council Adopted Fin Plan '!#REF!</definedName>
    <definedName name="seattlecso_2002">'[4]WTD Council Adopted Fin Plan '!#REF!</definedName>
    <definedName name="SIX">'[4]WTD Council Adopted Fin Plan '!#REF!</definedName>
    <definedName name="SLUDGE">'[4]WTD Council Adopted Fin Plan '!#REF!</definedName>
    <definedName name="SLUDGEIN">'[4]WTD Council Adopted Fin Plan '!#REF!</definedName>
    <definedName name="SUMMARY">'[4]WTD Council Adopted Fin Plan '!#REF!</definedName>
    <definedName name="TERM">'[4]WTD Council Adopted Fin Plan '!#REF!</definedName>
    <definedName name="THREE">'[4]WTD Council Adopted Fin Plan '!#REF!</definedName>
    <definedName name="TRANS">'[4]WTD Council Adopted Fin Plan '!#REF!</definedName>
    <definedName name="TWO">'[4]WTD Council Adopted Fin Plan '!#REF!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'[4]WTD Council Adopted Fin Plan '!#REF!</definedName>
  </definedNames>
  <calcPr fullCalcOnLoad="1"/>
</workbook>
</file>

<file path=xl/sharedStrings.xml><?xml version="1.0" encoding="utf-8"?>
<sst xmlns="http://schemas.openxmlformats.org/spreadsheetml/2006/main" count="160" uniqueCount="153">
  <si>
    <t>2004 Proposed CFT (Updated: shows excess revenue as fund balance + interest)</t>
  </si>
  <si>
    <r>
      <t xml:space="preserve">(I-747 1% limitation base year = </t>
    </r>
    <r>
      <rPr>
        <sz val="10"/>
        <rFont val="Arial"/>
        <family val="2"/>
      </rPr>
      <t>2001)</t>
    </r>
  </si>
  <si>
    <r>
      <t xml:space="preserve">Updated:  </t>
    </r>
    <r>
      <rPr>
        <b/>
        <sz val="10"/>
        <rFont val="Arial"/>
        <family val="2"/>
      </rPr>
      <t>11-19-03</t>
    </r>
    <r>
      <rPr>
        <sz val="10"/>
        <rFont val="Arial"/>
        <family val="0"/>
      </rPr>
      <t xml:space="preserve"> (WS)</t>
    </r>
  </si>
  <si>
    <t>1999 Actual</t>
  </si>
  <si>
    <t>2000 Actual</t>
  </si>
  <si>
    <t>2001 Actual</t>
  </si>
  <si>
    <t>2002 Actual</t>
  </si>
  <si>
    <t>2003 Adopted</t>
  </si>
  <si>
    <t>2003 Revised</t>
  </si>
  <si>
    <t>2004 Projected</t>
  </si>
  <si>
    <t>2005 Projected</t>
  </si>
  <si>
    <t>2006 Projected</t>
  </si>
  <si>
    <t>2007 Projected</t>
  </si>
  <si>
    <t>Beginning Fund Balance</t>
  </si>
  <si>
    <t>Revenues</t>
  </si>
  <si>
    <t xml:space="preserve">  Levy Fund 3151 (showing % increase from prior year)</t>
  </si>
  <si>
    <r>
      <t xml:space="preserve">    Conservation Futures Tax levy </t>
    </r>
    <r>
      <rPr>
        <i/>
        <vertAlign val="superscript"/>
        <sz val="12"/>
        <rFont val="Arial"/>
        <family val="2"/>
      </rPr>
      <t>a</t>
    </r>
  </si>
  <si>
    <t>a1</t>
  </si>
  <si>
    <t>a2</t>
  </si>
  <si>
    <t>a3</t>
  </si>
  <si>
    <t>a4</t>
  </si>
  <si>
    <t>a5</t>
  </si>
  <si>
    <r>
      <t xml:space="preserve">    Less Debt Service </t>
    </r>
    <r>
      <rPr>
        <i/>
        <vertAlign val="superscript"/>
        <sz val="12"/>
        <rFont val="Arial"/>
        <family val="2"/>
      </rPr>
      <t>b</t>
    </r>
  </si>
  <si>
    <t xml:space="preserve">    *  Maury Island</t>
  </si>
  <si>
    <t xml:space="preserve">    *  1993B Various Purpose CFT</t>
  </si>
  <si>
    <t xml:space="preserve">    *  1991 Refunding (May &amp; Nov 1985) After 1999A Refunding</t>
  </si>
  <si>
    <r>
      <t xml:space="preserve">    *  2003 Treemont Acquisition </t>
    </r>
    <r>
      <rPr>
        <i/>
        <vertAlign val="superscript"/>
        <sz val="12"/>
        <rFont val="Arial"/>
        <family val="2"/>
      </rPr>
      <t>b1</t>
    </r>
  </si>
  <si>
    <r>
      <t xml:space="preserve">    *  Juanita Woods acquisition </t>
    </r>
    <r>
      <rPr>
        <i/>
        <vertAlign val="superscript"/>
        <sz val="12"/>
        <rFont val="Arial"/>
        <family val="2"/>
      </rPr>
      <t>b4</t>
    </r>
  </si>
  <si>
    <r>
      <t xml:space="preserve">    *  2001 Snoqualmie Preservation Initiative (6/30/07) </t>
    </r>
    <r>
      <rPr>
        <i/>
        <vertAlign val="superscript"/>
        <sz val="12"/>
        <rFont val="Arial"/>
        <family val="2"/>
      </rPr>
      <t>b2</t>
    </r>
  </si>
  <si>
    <r>
      <t xml:space="preserve">    *  City of Snoqualmie 6/30/07 loan debt service </t>
    </r>
    <r>
      <rPr>
        <i/>
        <vertAlign val="superscript"/>
        <sz val="12"/>
        <rFont val="Arial"/>
        <family val="2"/>
      </rPr>
      <t>b3</t>
    </r>
  </si>
  <si>
    <r>
      <t xml:space="preserve">    *  Fund 8400 Revenue Adjustment</t>
    </r>
    <r>
      <rPr>
        <vertAlign val="superscript"/>
        <sz val="12"/>
        <rFont val="Arial"/>
        <family val="2"/>
      </rPr>
      <t xml:space="preserve"> c</t>
    </r>
  </si>
  <si>
    <t>c1</t>
  </si>
  <si>
    <t>c2</t>
  </si>
  <si>
    <t xml:space="preserve">       Total Debt Service</t>
  </si>
  <si>
    <t xml:space="preserve">    Conservation Futures Tax Net of Debt Service</t>
  </si>
  <si>
    <r>
      <t xml:space="preserve">    Interest Income</t>
    </r>
    <r>
      <rPr>
        <vertAlign val="superscript"/>
        <sz val="12"/>
        <rFont val="Arial"/>
        <family val="2"/>
      </rPr>
      <t xml:space="preserve"> </t>
    </r>
    <r>
      <rPr>
        <i/>
        <vertAlign val="superscript"/>
        <sz val="12"/>
        <rFont val="Arial"/>
        <family val="2"/>
      </rPr>
      <t>d</t>
    </r>
  </si>
  <si>
    <t>e1</t>
  </si>
  <si>
    <r>
      <t xml:space="preserve">    Other Misc Taxes and Revenue </t>
    </r>
    <r>
      <rPr>
        <vertAlign val="superscript"/>
        <sz val="12"/>
        <rFont val="Arial"/>
        <family val="2"/>
      </rPr>
      <t>e</t>
    </r>
  </si>
  <si>
    <t>e2</t>
  </si>
  <si>
    <r>
      <t xml:space="preserve">    Other Financing Sources </t>
    </r>
    <r>
      <rPr>
        <i/>
        <vertAlign val="superscript"/>
        <sz val="12"/>
        <rFont val="Arial"/>
        <family val="2"/>
      </rPr>
      <t>f</t>
    </r>
  </si>
  <si>
    <t xml:space="preserve">    Unrealized Net Gain (GAAP)</t>
  </si>
  <si>
    <t xml:space="preserve">    Adjustment to Equity Fund Balance Retained Earnings</t>
  </si>
  <si>
    <t xml:space="preserve">    Subtotal Revenues, Levy Fund 3151</t>
  </si>
  <si>
    <t xml:space="preserve">  Bond Fund 3152</t>
  </si>
  <si>
    <t xml:space="preserve">    Interest Income</t>
  </si>
  <si>
    <t xml:space="preserve">      Subtotal Revenues, Bond Fund 3152</t>
  </si>
  <si>
    <t>Total Revenues Net of Debt Service</t>
  </si>
  <si>
    <t>Expenditures</t>
  </si>
  <si>
    <t xml:space="preserve">  Levy Fund 3151</t>
  </si>
  <si>
    <r>
      <t xml:space="preserve">      Central Finance Department  Fund Charge</t>
    </r>
    <r>
      <rPr>
        <i/>
        <vertAlign val="superscript"/>
        <sz val="12"/>
        <rFont val="Arial"/>
        <family val="2"/>
      </rPr>
      <t>g1</t>
    </r>
  </si>
  <si>
    <r>
      <t xml:space="preserve">      CFT Program Support</t>
    </r>
    <r>
      <rPr>
        <i/>
        <vertAlign val="superscript"/>
        <sz val="12"/>
        <rFont val="Arial"/>
        <family val="2"/>
      </rPr>
      <t>g2</t>
    </r>
  </si>
  <si>
    <r>
      <t xml:space="preserve">      King County Council Annual Allocation </t>
    </r>
    <r>
      <rPr>
        <i/>
        <vertAlign val="superscript"/>
        <sz val="12"/>
        <rFont val="Arial"/>
        <family val="2"/>
      </rPr>
      <t>g, j2, j3</t>
    </r>
  </si>
  <si>
    <t xml:space="preserve">      King County Allocation</t>
  </si>
  <si>
    <r>
      <t xml:space="preserve">         King County Projects </t>
    </r>
    <r>
      <rPr>
        <i/>
        <vertAlign val="superscript"/>
        <sz val="12"/>
        <rFont val="Arial"/>
        <family val="2"/>
      </rPr>
      <t>t</t>
    </r>
  </si>
  <si>
    <r>
      <t xml:space="preserve">         Contribution to Open Space Linkage Initiative </t>
    </r>
    <r>
      <rPr>
        <i/>
        <vertAlign val="superscript"/>
        <sz val="12"/>
        <rFont val="Arial"/>
        <family val="2"/>
      </rPr>
      <t>h</t>
    </r>
  </si>
  <si>
    <r>
      <t xml:space="preserve">         Transfer of Development Rights Loan Repayment </t>
    </r>
    <r>
      <rPr>
        <i/>
        <vertAlign val="superscript"/>
        <sz val="12"/>
        <rFont val="Arial"/>
        <family val="2"/>
      </rPr>
      <t>i</t>
    </r>
  </si>
  <si>
    <t xml:space="preserve">      Seattle Projects</t>
  </si>
  <si>
    <r>
      <t xml:space="preserve">      Suburban Cities Projects </t>
    </r>
    <r>
      <rPr>
        <i/>
        <vertAlign val="superscript"/>
        <sz val="12"/>
        <rFont val="Arial"/>
        <family val="2"/>
      </rPr>
      <t>r</t>
    </r>
  </si>
  <si>
    <r>
      <t xml:space="preserve">      Citizen Oversight Committee Annual Allocation (to be determined) </t>
    </r>
    <r>
      <rPr>
        <i/>
        <vertAlign val="superscript"/>
        <sz val="12"/>
        <rFont val="Arial"/>
        <family val="2"/>
      </rPr>
      <t>j, j1</t>
    </r>
  </si>
  <si>
    <t xml:space="preserve">      CIP Carryover from Prior Year</t>
  </si>
  <si>
    <t xml:space="preserve">      Subtotal Expenditures, Levy Fund 3151</t>
  </si>
  <si>
    <t xml:space="preserve">      Regional Projects</t>
  </si>
  <si>
    <t xml:space="preserve">      King County Projects</t>
  </si>
  <si>
    <t xml:space="preserve">      Suburban Cities Projects</t>
  </si>
  <si>
    <t xml:space="preserve">      Subtotal Expenditures, Bond Fund 3152</t>
  </si>
  <si>
    <t>Total Expenditures</t>
  </si>
  <si>
    <t>Ending Fund Balance</t>
  </si>
  <si>
    <t>l</t>
  </si>
  <si>
    <t>Reserves</t>
  </si>
  <si>
    <t xml:space="preserve">  Levy Fund 3151 Reserve for CIP Carryover</t>
  </si>
  <si>
    <t>k</t>
  </si>
  <si>
    <t>u</t>
  </si>
  <si>
    <t xml:space="preserve">  Levy Fund 3151 Reserve for Unrealized Gain (GAAP)</t>
  </si>
  <si>
    <t xml:space="preserve">  Bond Fund 3152 Reserve for CIP Carryover</t>
  </si>
  <si>
    <t>Total Reserves</t>
  </si>
  <si>
    <t>Undesignated Ending Fund Balance</t>
  </si>
  <si>
    <t>Levy Fund 3151 - Undesignated Ending Fund Balance</t>
  </si>
  <si>
    <t>Bond Fund 3152 - Undesignated Ending Fund Balance</t>
  </si>
  <si>
    <t>Total debt</t>
  </si>
  <si>
    <t>Additional debt</t>
  </si>
  <si>
    <t>Additional</t>
  </si>
  <si>
    <t>Remaining</t>
  </si>
  <si>
    <t>Available debt service capacity (20 year term @5% interest rate):</t>
  </si>
  <si>
    <t>service target:</t>
  </si>
  <si>
    <t>service amount:</t>
  </si>
  <si>
    <t>debt capacity:</t>
  </si>
  <si>
    <t>Citizens' alloc:</t>
  </si>
  <si>
    <t xml:space="preserve">    @38.2% total debt service (as % of total revenue) -EXISTING-</t>
  </si>
  <si>
    <t xml:space="preserve">    @50% total debt service (as % of total revenue)</t>
  </si>
  <si>
    <t xml:space="preserve">    @60% total debt service (as % of total revenue)</t>
  </si>
  <si>
    <t xml:space="preserve">    @70% total debt service (as % of total revenue)</t>
  </si>
  <si>
    <t xml:space="preserve">    @80% total debt service (as % of total revenue)</t>
  </si>
  <si>
    <t xml:space="preserve">    @90% total debt service (as % of total revenue)</t>
  </si>
  <si>
    <t xml:space="preserve">    @96.7% total debt service (as % of total revenue)</t>
  </si>
  <si>
    <r>
      <t>Notes</t>
    </r>
    <r>
      <rPr>
        <sz val="10"/>
        <rFont val="Arial"/>
        <family val="0"/>
      </rPr>
      <t>:</t>
    </r>
  </si>
  <si>
    <r>
      <t>a</t>
    </r>
    <r>
      <rPr>
        <sz val="10"/>
        <rFont val="Arial"/>
        <family val="2"/>
      </rPr>
      <t xml:space="preserve">  CFT tax levy assessed @6.25%/$1000 AV through 2001; beginning in 2002, CFT tax levy subject to I-747 limitation of 1% of prior year levy + new construction. Projected levy revenues reduced by assumed @99% collection rate.</t>
    </r>
  </si>
  <si>
    <r>
      <t>a1</t>
    </r>
    <r>
      <rPr>
        <sz val="10"/>
        <rFont val="Arial"/>
        <family val="2"/>
      </rPr>
      <t xml:space="preserve">  2001 is final year of CFT levy asessment @6.25%/$1000 AV; 2001 is base year for I-747 1% limitation.</t>
    </r>
  </si>
  <si>
    <r>
      <t>a2</t>
    </r>
    <r>
      <rPr>
        <sz val="10"/>
        <rFont val="Arial"/>
        <family val="2"/>
      </rPr>
      <t xml:space="preserve">  2002 is first year of I-747 1% limitation; actual levy collections exceeded I-747 limitation of 1% + new construction due to delay in notification by assessor's office.</t>
    </r>
  </si>
  <si>
    <r>
      <t>a3</t>
    </r>
    <r>
      <rPr>
        <sz val="10"/>
        <rFont val="Arial"/>
        <family val="2"/>
      </rPr>
      <t xml:space="preserve">  2003 adopted levy amount set at 1% + 2.55% new construction, projected from 2001 base year (not adjusted for assumed 99% collection rate); 2003 fee ordinance 14543 provides $14,006,491 for CFT levy in 2003 (6.30% of $225,069,320,619 AV).</t>
    </r>
  </si>
  <si>
    <r>
      <t>a4</t>
    </r>
    <r>
      <rPr>
        <sz val="10"/>
        <rFont val="Arial"/>
        <family val="2"/>
      </rPr>
      <t xml:space="preserve">  CFT levy amount reported by assessor's office to Treasury for collection; amount originated by Budget Office around 1/6/03; total of $12,445,826 + assumed $155,573 interest </t>
    </r>
  </si>
  <si>
    <t xml:space="preserve">      earnings (since superseded by revised $256,582 amount); interest earnings should not have been included in levy amount.</t>
  </si>
  <si>
    <r>
      <t>a5</t>
    </r>
    <r>
      <rPr>
        <sz val="10"/>
        <rFont val="Arial"/>
        <family val="2"/>
      </rPr>
      <t xml:space="preserve">  Corrected 2004 levy amount projected using the following factors: 2001 revenue base = $11,698,812 actual levied amount (per Assessor's Office), 2.73% (2002) 1.77% (2003) 2.19% (2004) new construction, 99% assumed collection rate (2004 only).</t>
    </r>
  </si>
  <si>
    <r>
      <t xml:space="preserve">b  </t>
    </r>
    <r>
      <rPr>
        <sz val="10"/>
        <rFont val="Arial"/>
        <family val="0"/>
      </rPr>
      <t>Debt service schedule provided by King County Finance.</t>
    </r>
  </si>
  <si>
    <r>
      <t xml:space="preserve">b1  </t>
    </r>
    <r>
      <rPr>
        <sz val="10"/>
        <rFont val="Arial"/>
        <family val="0"/>
      </rPr>
      <t>2003 Treemont acquisition supplemental; 3 months debt service + transaction and interfund pool interest costs in 2003, full annual debt service begins in 2004. Total acquisition cost is $8.8 million (CFT = $6.8 million,</t>
    </r>
  </si>
  <si>
    <t xml:space="preserve">      REET 1 = $2.0 million); $8.8 million bond for 20 years @5.25% interest (updated from 4.5% on 9-3-03); expenditure is appropriated in Open Space fund 3522.</t>
  </si>
  <si>
    <r>
      <t xml:space="preserve">b2  </t>
    </r>
    <r>
      <rPr>
        <sz val="10"/>
        <rFont val="Arial"/>
        <family val="0"/>
      </rPr>
      <t>Year 2007 debt service amount is for 6 months only, full annual cost for 2007 bond will be $327,809 @5.25% for 20 years; need to keep this placeholder until annexation issue is resolved (in 2003?).</t>
    </r>
  </si>
  <si>
    <r>
      <t xml:space="preserve">b3  </t>
    </r>
    <r>
      <rPr>
        <sz val="10"/>
        <rFont val="Arial"/>
        <family val="0"/>
      </rPr>
      <t>Year 2007 debt service amount for City of Snoqualmie loan/bond is for 6 months only, full annual cost is $163,905; need to keep this placeholder until annexation issue is resolved (in 2003?).</t>
    </r>
  </si>
  <si>
    <r>
      <t>c</t>
    </r>
    <r>
      <rPr>
        <sz val="10"/>
        <rFont val="Arial"/>
        <family val="2"/>
      </rPr>
      <t xml:space="preserve">  Adjustment reflects difference between revenue collected in Fund 8400 and actual debt service payments made in 2001; not reflected in 2001 CAFR.</t>
    </r>
  </si>
  <si>
    <r>
      <t>c1</t>
    </r>
    <r>
      <rPr>
        <sz val="10"/>
        <rFont val="Arial"/>
        <family val="2"/>
      </rPr>
      <t xml:space="preserve">  Added $71 interest earnings discrepancy to balance revenues to CAFR.</t>
    </r>
  </si>
  <si>
    <r>
      <t>c2</t>
    </r>
    <r>
      <rPr>
        <sz val="10"/>
        <rFont val="Arial"/>
        <family val="2"/>
      </rPr>
      <t xml:space="preserve">  Excess debt service amount witheld by Finance in Fund 8400; balances CFT revenues to CAFR revenues.</t>
    </r>
  </si>
  <si>
    <r>
      <t>d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Assumes the following County investment pool interest rate yields (as of 09/09/03): 2003 (2.50%), 2004 (2.25%), 2005 (3.30%), 2006 (4.15%).</t>
    </r>
  </si>
  <si>
    <r>
      <t>e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Includes Advalorem Tax Refunds, Sale of Tax Title Property, Private Timber Harvest Tax, Leasehold Excise Tax, Payment in Lieu of Taxes, and Ext L-T Space/Facilities Rent.</t>
    </r>
  </si>
  <si>
    <r>
      <t>e1</t>
    </r>
    <r>
      <rPr>
        <sz val="10"/>
        <rFont val="Arial"/>
        <family val="2"/>
      </rPr>
      <t xml:space="preserve">  Pr</t>
    </r>
    <r>
      <rPr>
        <sz val="10"/>
        <rFont val="Arial"/>
        <family val="0"/>
      </rPr>
      <t>ojections based on current YTD actuals.</t>
    </r>
  </si>
  <si>
    <r>
      <t>e2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Assumes approximately 25% increase over previous year.</t>
    </r>
  </si>
  <si>
    <r>
      <t>f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Includes Timber Sales - Forest Board Yield.</t>
    </r>
  </si>
  <si>
    <r>
      <t>f1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ARMS report shows $61,419; adjusted down to $61,417 to balance to $10,263,285 CAFR bottom line.</t>
    </r>
  </si>
  <si>
    <r>
      <t>g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Ordinance 13717 directs that starting with the 2001 budget, $500,000 plus 5% of total fund revenues, net of debt service and contracted encumbrances, will be reserved to be used at the discretion of the Council during the</t>
    </r>
  </si>
  <si>
    <t xml:space="preserve">     annual budget process to fund parcels that satisfy  County open space selection criteria of ordinance 13717. Ordinance 14714 (July 2003) amended Ordinance 13717 by eliminating the $500,000/5% Council reserve.</t>
  </si>
  <si>
    <t xml:space="preserve">     Changes are shown beginning with 2003 revised projection.</t>
  </si>
  <si>
    <r>
      <t xml:space="preserve">g1  </t>
    </r>
    <r>
      <rPr>
        <sz val="10"/>
        <rFont val="Arial"/>
        <family val="2"/>
      </rPr>
      <t xml:space="preserve">Annual </t>
    </r>
    <r>
      <rPr>
        <sz val="10"/>
        <rFont val="Arial"/>
        <family val="0"/>
      </rPr>
      <t>Finance Department charges in the out years are assumed to increase at a rate of 2.5% per year. CIP #315000.</t>
    </r>
  </si>
  <si>
    <r>
      <t>g2</t>
    </r>
    <r>
      <rPr>
        <sz val="10"/>
        <rFont val="Arial"/>
        <family val="2"/>
      </rPr>
      <t xml:space="preserve">  Annual CFT program staff support cost; (CIP #315099) assumed 2.5% annual inflation.</t>
    </r>
  </si>
  <si>
    <r>
      <t>h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Conservation Futures funds committed by Council for the acquisition of high priority  Open Spaces (Critical Resource Initiative) from 1998 through 2001.</t>
    </r>
  </si>
  <si>
    <r>
      <t>i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Assumes August 2000 bond sale and interfund interest-only payments through 2003; capitalization of Transfer of Development Credits (TDC) program begins in 2004 (principal + interest payments). CIP #315106.</t>
    </r>
  </si>
  <si>
    <r>
      <t>j</t>
    </r>
    <r>
      <rPr>
        <sz val="10"/>
        <rFont val="Arial"/>
        <family val="0"/>
      </rPr>
      <t xml:space="preserve">  Funds available for annual allocation by the Citizens Oversight Committee, but not part of the Executive's Proposed Budget.</t>
    </r>
  </si>
  <si>
    <r>
      <t>j1</t>
    </r>
    <r>
      <rPr>
        <sz val="10"/>
        <rFont val="Arial"/>
        <family val="0"/>
      </rPr>
      <t xml:space="preserve">  Recommendation of Conservation Futures Citizens Committee for 2001 includes $3,435,000 (Suburban Cities projects), $3,400,000 (Seattle projects), $2,800,000 (King County projects).</t>
    </r>
  </si>
  <si>
    <r>
      <t>j2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0"/>
      </rPr>
      <t>2000 Council Reserve appropriation includes $50,000 (Leschi Natural Area acquisition), $125,000 (South Fork Hamm Creek acquisition), $30,000 (Renton TDC/acquisition costs), $30,000 (SeaTac TDC/acquisition costs,)</t>
    </r>
  </si>
  <si>
    <r>
      <t xml:space="preserve">     </t>
    </r>
    <r>
      <rPr>
        <sz val="10"/>
        <rFont val="Arial"/>
        <family val="2"/>
      </rPr>
      <t>$200,000 (Cedar River Legacy), $200,000 (Ames Lake acquisition), $200,000 (Snohomish WRIA 7 acquisitions),  $20,000 (Georgetown Open Space acquisition).</t>
    </r>
  </si>
  <si>
    <r>
      <t>j3</t>
    </r>
    <r>
      <rPr>
        <sz val="10"/>
        <rFont val="Arial"/>
        <family val="0"/>
      </rPr>
      <t xml:space="preserve">  2001 Council Reserve appropriation includes $400,000 (Cedar River Legacy), $100,000 (Christianson Pond acquisition), $200,000 (Hitts Hill acquisition), $50,000 (Kaufman/Hollywood Hill), $500,000 Magnolia Dairy Farm acquisition),</t>
    </r>
  </si>
  <si>
    <t xml:space="preserve">     $50,000 (Mallard Bay Wetland acquisition), $200,000 (Mid-Fork Snoqualmie Oxbow), $300,000 (Mirrormont Property acquisition), $100,000 (Shadow Lake Bog), $400,000 (Soos Creek Cedar Trail Connector), $135,000</t>
  </si>
  <si>
    <t xml:space="preserve">    (West Hylebos Critical Habitat acquisition, $100,000 (White River acquisition).</t>
  </si>
  <si>
    <r>
      <t>j4</t>
    </r>
    <r>
      <rPr>
        <sz val="10"/>
        <rFont val="Arial"/>
        <family val="0"/>
      </rPr>
      <t xml:space="preserve">  2002 Council Reserve appropriation includes $500,000 (Holmes Point Open Space), $165,000 (Crowe Marsh/Rock Creek Headwaters), $180,000 (Lake 12 acquisition), $500,000 (Cedar River Legacy), $100,000 (Equestrian Trails</t>
    </r>
  </si>
  <si>
    <t xml:space="preserve">    Easement acquisition), $110,000 West Hylebos Critical Habitat acquisition), $350,000 (Shinglemill acquisition).</t>
  </si>
  <si>
    <r>
      <t>j5</t>
    </r>
    <r>
      <rPr>
        <sz val="10"/>
        <rFont val="Arial"/>
        <family val="0"/>
      </rPr>
      <t xml:space="preserve">  Recommendation of Conservation Futures Citizens Committee for 2001 includes $1,467,000 (Suburban Cities projects), $200,000 (Seattle projects), $1,830,000 (King County projects).</t>
    </r>
  </si>
  <si>
    <r>
      <t>k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Includes $8,577 (County CFL contingency), $750,000 (Cedar River Legacy/ESA federal match), $225,000 (Cougar Mountain Claypit), $75,000 (TDR loan repayment), $600,000 (Auburn CFL), $64,091 (Issaquah CFL), $54,000</t>
    </r>
  </si>
  <si>
    <t xml:space="preserve">     (Milton CFL), $200,000 (Renton CFL).</t>
  </si>
  <si>
    <r>
      <t>l</t>
    </r>
    <r>
      <rPr>
        <i/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1999 CAFR Ending Balance reflects $5,259,917; the difference of $1,405,539 is reflected in Debt Service fund 8400 but available for CFL fund.</t>
    </r>
  </si>
  <si>
    <r>
      <t>r</t>
    </r>
    <r>
      <rPr>
        <sz val="10"/>
        <rFont val="Arial"/>
        <family val="0"/>
      </rPr>
      <t xml:space="preserve">  $1,000,000 appropriated in 2001 for Seattle Art Museum Sculpture Park.</t>
    </r>
  </si>
  <si>
    <r>
      <t>t</t>
    </r>
    <r>
      <rPr>
        <sz val="10"/>
        <rFont val="Arial"/>
        <family val="0"/>
      </rPr>
      <t xml:space="preserve">  Appropriated in 2002 for King County projects:  $500,000 (Lower Green APD).</t>
    </r>
  </si>
  <si>
    <r>
      <t>u</t>
    </r>
    <r>
      <rPr>
        <sz val="10"/>
        <rFont val="Arial"/>
        <family val="0"/>
      </rPr>
      <t xml:space="preserve">  2001-2002 carryover includes $13,091,810 carryover and ($24,632) in the CIP reconciliation ordinance.</t>
    </r>
  </si>
  <si>
    <t>Appropriation Needed to fund Juanita Acquisition</t>
  </si>
  <si>
    <t>JW property cost</t>
  </si>
  <si>
    <t>Less CFL appropriated</t>
  </si>
  <si>
    <t>Pool interest cost @2.9%</t>
  </si>
  <si>
    <t>Acquisition cost</t>
  </si>
  <si>
    <t>Subtotal (Council appropriation request)</t>
  </si>
  <si>
    <t>Less 1st DCNA payment</t>
  </si>
  <si>
    <t>Subtotal (Fiscal note - 3rd year total)</t>
  </si>
  <si>
    <t>Less 2nd DCNA payment</t>
  </si>
  <si>
    <t>Subtotal (Pool interest cost calculation sheet)</t>
  </si>
  <si>
    <t>1.0% bond issuance cost</t>
  </si>
  <si>
    <t>Total LTGO bond issue (10/06)</t>
  </si>
  <si>
    <t>Annual debt service on $6,370,223 @5.5% interest rate over 20 years</t>
  </si>
  <si>
    <r>
      <t xml:space="preserve">b4  </t>
    </r>
    <r>
      <rPr>
        <sz val="10"/>
        <rFont val="Arial"/>
        <family val="0"/>
      </rPr>
      <t>2004 Juanita Woods acquisition; interfund loan in 2004, two months LTGO debt service in 2006, full annual debt service begins in 2007. $6.673 million bond for 20 years @5.5% interest rate issued 10/06; expenditure is appropriated in Open Space fund 35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</si>
</sst>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[Red]\(#,##0.000\)"/>
    <numFmt numFmtId="167" formatCode="0.0000%"/>
    <numFmt numFmtId="168" formatCode="#,##0.0_);[Red]\(#,##0.0\)"/>
    <numFmt numFmtId="169" formatCode="0.000%"/>
    <numFmt numFmtId="170" formatCode="0.000000%"/>
    <numFmt numFmtId="171" formatCode="_(&quot;$&quot;* #,##0_);_(&quot;$&quot;* \(#,##0\);_(&quot;$&quot;* &quot;-&quot;??_);_(@_)"/>
  </numFmts>
  <fonts count="17">
    <font>
      <sz val="10"/>
      <name val="Arial"/>
      <family val="0"/>
    </font>
    <font>
      <i/>
      <vertAlign val="superscript"/>
      <sz val="12"/>
      <name val="Arial"/>
      <family val="2"/>
    </font>
    <font>
      <b/>
      <sz val="10"/>
      <name val="Arial"/>
      <family val="2"/>
    </font>
    <font>
      <b/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7" fontId="15" fillId="0" borderId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38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2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2" fillId="0" borderId="2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2" fillId="2" borderId="2" xfId="0" applyNumberFormat="1" applyFont="1" applyFill="1" applyBorder="1" applyAlignment="1">
      <alignment/>
    </xf>
    <xf numFmtId="38" fontId="2" fillId="3" borderId="2" xfId="0" applyNumberFormat="1" applyFont="1" applyFill="1" applyBorder="1" applyAlignment="1">
      <alignment/>
    </xf>
    <xf numFmtId="38" fontId="1" fillId="3" borderId="2" xfId="0" applyNumberFormat="1" applyFont="1" applyFill="1" applyBorder="1" applyAlignment="1">
      <alignment/>
    </xf>
    <xf numFmtId="38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2" borderId="0" xfId="0" applyNumberFormat="1" applyFont="1" applyFill="1" applyBorder="1" applyAlignment="1">
      <alignment/>
    </xf>
    <xf numFmtId="38" fontId="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38" fontId="0" fillId="0" borderId="0" xfId="0" applyNumberFormat="1" applyBorder="1" applyAlignment="1">
      <alignment/>
    </xf>
    <xf numFmtId="38" fontId="0" fillId="2" borderId="0" xfId="0" applyNumberForma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38" fontId="1" fillId="0" borderId="7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2" borderId="2" xfId="0" applyNumberFormat="1" applyFont="1" applyFill="1" applyBorder="1" applyAlignment="1">
      <alignment/>
    </xf>
    <xf numFmtId="38" fontId="0" fillId="0" borderId="2" xfId="0" applyNumberFormat="1" applyBorder="1" applyAlignment="1">
      <alignment/>
    </xf>
    <xf numFmtId="38" fontId="0" fillId="0" borderId="2" xfId="0" applyNumberFormat="1" applyFill="1" applyBorder="1" applyAlignment="1">
      <alignment/>
    </xf>
    <xf numFmtId="38" fontId="1" fillId="0" borderId="6" xfId="0" applyNumberFormat="1" applyFont="1" applyFill="1" applyBorder="1" applyAlignment="1">
      <alignment/>
    </xf>
    <xf numFmtId="38" fontId="0" fillId="2" borderId="2" xfId="0" applyNumberFormat="1" applyFill="1" applyBorder="1" applyAlignment="1">
      <alignment/>
    </xf>
    <xf numFmtId="38" fontId="0" fillId="3" borderId="0" xfId="0" applyNumberFormat="1" applyFill="1" applyBorder="1" applyAlignment="1">
      <alignment/>
    </xf>
    <xf numFmtId="38" fontId="1" fillId="3" borderId="0" xfId="0" applyNumberFormat="1" applyFont="1" applyFill="1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/>
    </xf>
    <xf numFmtId="38" fontId="2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5" fontId="5" fillId="0" borderId="0" xfId="17" applyNumberFormat="1" applyFont="1" applyFill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6" xfId="0" applyNumberFormat="1" applyFill="1" applyBorder="1" applyAlignment="1">
      <alignment/>
    </xf>
    <xf numFmtId="0" fontId="1" fillId="0" borderId="6" xfId="0" applyFont="1" applyBorder="1" applyAlignment="1">
      <alignment/>
    </xf>
    <xf numFmtId="38" fontId="5" fillId="0" borderId="6" xfId="17" applyNumberFormat="1" applyFont="1" applyFill="1" applyBorder="1" applyAlignment="1">
      <alignment/>
    </xf>
    <xf numFmtId="38" fontId="0" fillId="2" borderId="6" xfId="0" applyNumberFormat="1" applyFill="1" applyBorder="1" applyAlignment="1">
      <alignment/>
    </xf>
    <xf numFmtId="0" fontId="2" fillId="0" borderId="8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6" xfId="0" applyNumberFormat="1" applyFont="1" applyFill="1" applyBorder="1" applyAlignment="1">
      <alignment/>
    </xf>
    <xf numFmtId="38" fontId="2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165" fontId="5" fillId="0" borderId="0" xfId="17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165" fontId="6" fillId="0" borderId="0" xfId="17" applyNumberFormat="1" applyFont="1" applyBorder="1" applyAlignment="1">
      <alignment/>
    </xf>
    <xf numFmtId="165" fontId="6" fillId="0" borderId="6" xfId="17" applyNumberFormat="1" applyFont="1" applyBorder="1" applyAlignment="1">
      <alignment/>
    </xf>
    <xf numFmtId="0" fontId="6" fillId="0" borderId="10" xfId="0" applyFont="1" applyBorder="1" applyAlignment="1">
      <alignment/>
    </xf>
    <xf numFmtId="38" fontId="6" fillId="0" borderId="9" xfId="0" applyNumberFormat="1" applyFont="1" applyBorder="1" applyAlignment="1">
      <alignment/>
    </xf>
    <xf numFmtId="38" fontId="1" fillId="0" borderId="9" xfId="0" applyNumberFormat="1" applyFont="1" applyBorder="1" applyAlignment="1">
      <alignment/>
    </xf>
    <xf numFmtId="38" fontId="6" fillId="0" borderId="9" xfId="0" applyNumberFormat="1" applyFont="1" applyFill="1" applyBorder="1" applyAlignment="1">
      <alignment/>
    </xf>
    <xf numFmtId="38" fontId="1" fillId="0" borderId="9" xfId="0" applyNumberFormat="1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0" fontId="6" fillId="0" borderId="6" xfId="0" applyFont="1" applyBorder="1" applyAlignment="1">
      <alignment/>
    </xf>
    <xf numFmtId="38" fontId="6" fillId="0" borderId="8" xfId="0" applyNumberFormat="1" applyFont="1" applyBorder="1" applyAlignment="1">
      <alignment/>
    </xf>
    <xf numFmtId="38" fontId="6" fillId="0" borderId="6" xfId="17" applyNumberFormat="1" applyFont="1" applyBorder="1" applyAlignment="1">
      <alignment/>
    </xf>
    <xf numFmtId="38" fontId="1" fillId="0" borderId="6" xfId="17" applyNumberFormat="1" applyFont="1" applyBorder="1" applyAlignment="1">
      <alignment/>
    </xf>
    <xf numFmtId="38" fontId="6" fillId="0" borderId="6" xfId="17" applyNumberFormat="1" applyFont="1" applyFill="1" applyBorder="1" applyAlignment="1">
      <alignment/>
    </xf>
    <xf numFmtId="38" fontId="1" fillId="0" borderId="6" xfId="17" applyNumberFormat="1" applyFont="1" applyFill="1" applyBorder="1" applyAlignment="1">
      <alignment/>
    </xf>
    <xf numFmtId="38" fontId="1" fillId="0" borderId="7" xfId="17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8" fontId="9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165" fontId="2" fillId="0" borderId="0" xfId="17" applyNumberFormat="1" applyFont="1" applyAlignment="1">
      <alignment/>
    </xf>
    <xf numFmtId="0" fontId="11" fillId="0" borderId="0" xfId="0" applyFont="1" applyAlignment="1">
      <alignment/>
    </xf>
    <xf numFmtId="38" fontId="5" fillId="0" borderId="0" xfId="19" applyNumberFormat="1" applyFont="1" applyFill="1" applyAlignment="1">
      <alignment/>
    </xf>
    <xf numFmtId="165" fontId="0" fillId="0" borderId="0" xfId="17" applyNumberFormat="1" applyAlignment="1">
      <alignment/>
    </xf>
    <xf numFmtId="38" fontId="0" fillId="0" borderId="0" xfId="19" applyNumberFormat="1" applyAlignment="1">
      <alignment/>
    </xf>
    <xf numFmtId="38" fontId="0" fillId="0" borderId="0" xfId="19" applyNumberFormat="1" applyBorder="1" applyAlignment="1">
      <alignment/>
    </xf>
    <xf numFmtId="38" fontId="0" fillId="0" borderId="12" xfId="19" applyNumberFormat="1" applyBorder="1" applyAlignment="1">
      <alignment/>
    </xf>
    <xf numFmtId="38" fontId="0" fillId="0" borderId="12" xfId="19" applyNumberFormat="1" applyFill="1" applyBorder="1" applyAlignment="1">
      <alignment/>
    </xf>
    <xf numFmtId="38" fontId="0" fillId="0" borderId="0" xfId="19" applyNumberFormat="1" applyFill="1" applyAlignment="1">
      <alignment/>
    </xf>
  </cellXfs>
  <cellStyles count="11">
    <cellStyle name="Normal" xfId="0"/>
    <cellStyle name="1)" xfId="15"/>
    <cellStyle name="2)" xfId="16"/>
    <cellStyle name="Comma" xfId="17"/>
    <cellStyle name="Comma [0]" xfId="18"/>
    <cellStyle name="Currency" xfId="19"/>
    <cellStyle name="Currency [0]" xfId="20"/>
    <cellStyle name="Followed Hyperlink" xfId="21"/>
    <cellStyle name="Footnote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t_2004_juanita111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zs\Local%20Settings\Temporary%20Internet%20Files\OLK28\cft_2004_juanita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00\MBase_Essbase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%202001%20Financial%20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T 2003 Revised"/>
      <sheetName val="CFT 2003 Revised Summary"/>
      <sheetName val="2003_Adjs"/>
      <sheetName val="treemont ds"/>
      <sheetName val="jw_interfund"/>
      <sheetName val="jw_appropriation"/>
      <sheetName val="jw_ltgo_ds"/>
    </sheetNames>
    <sheetDataSet>
      <sheetData sheetId="2">
        <row r="6">
          <cell r="C6">
            <v>291356.4946341464</v>
          </cell>
        </row>
        <row r="14">
          <cell r="C14">
            <v>24849.607804878047</v>
          </cell>
        </row>
        <row r="17">
          <cell r="C17">
            <v>7053.013658536585</v>
          </cell>
        </row>
      </sheetData>
      <sheetData sheetId="3">
        <row r="9">
          <cell r="A9">
            <v>-531964.6606381364</v>
          </cell>
        </row>
      </sheetData>
      <sheetData sheetId="5">
        <row r="15">
          <cell r="A15">
            <v>-533056.0259328096</v>
          </cell>
        </row>
      </sheetData>
      <sheetData sheetId="6">
        <row r="9">
          <cell r="E9">
            <v>-29196.857230717596</v>
          </cell>
          <cell r="F9">
            <v>-14623.100991221716</v>
          </cell>
        </row>
        <row r="10">
          <cell r="E10">
            <v>-29129.834684507834</v>
          </cell>
          <cell r="F10">
            <v>-14690.123537431478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T 2003 Revised"/>
      <sheetName val="CFT 2003 Revised Summary"/>
      <sheetName val="2003_Adjs"/>
      <sheetName val="treemont ds"/>
      <sheetName val="jw_interest"/>
      <sheetName val="jw_appropriation"/>
      <sheetName val="jw_ltgo_ds"/>
    </sheetNames>
    <sheetDataSet>
      <sheetData sheetId="4">
        <row r="45">
          <cell r="D45">
            <v>527151.8770227031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  <sheetDataSet>
      <sheetData sheetId="5">
        <row r="4">
          <cell r="B4" t="str">
            <v>0010</v>
          </cell>
          <cell r="C4" t="str">
            <v>Current Expense</v>
          </cell>
          <cell r="D4" t="str">
            <v>County Council</v>
          </cell>
          <cell r="E4">
            <v>65</v>
          </cell>
          <cell r="F4">
            <v>0</v>
          </cell>
          <cell r="G4">
            <v>65</v>
          </cell>
          <cell r="H4">
            <v>0</v>
          </cell>
          <cell r="I4">
            <v>65</v>
          </cell>
          <cell r="J4" t="e">
            <v>#REF!</v>
          </cell>
        </row>
        <row r="5">
          <cell r="B5" t="str">
            <v>0020</v>
          </cell>
          <cell r="C5" t="str">
            <v>Current Expense</v>
          </cell>
          <cell r="D5" t="str">
            <v>Council Administration</v>
          </cell>
          <cell r="E5">
            <v>65.5</v>
          </cell>
          <cell r="F5">
            <v>0</v>
          </cell>
          <cell r="G5">
            <v>65.5</v>
          </cell>
          <cell r="H5">
            <v>0</v>
          </cell>
          <cell r="I5">
            <v>65.5</v>
          </cell>
          <cell r="J5" t="e">
            <v>#REF!</v>
          </cell>
        </row>
        <row r="6">
          <cell r="B6" t="str">
            <v>0030</v>
          </cell>
          <cell r="C6" t="str">
            <v>Current Expense</v>
          </cell>
          <cell r="D6" t="str">
            <v>Hearing Examiner</v>
          </cell>
          <cell r="E6">
            <v>7</v>
          </cell>
          <cell r="F6">
            <v>0</v>
          </cell>
          <cell r="G6">
            <v>7</v>
          </cell>
          <cell r="H6">
            <v>0</v>
          </cell>
          <cell r="I6">
            <v>7</v>
          </cell>
          <cell r="J6" t="e">
            <v>#REF!</v>
          </cell>
        </row>
        <row r="7">
          <cell r="B7" t="str">
            <v>0040</v>
          </cell>
          <cell r="C7" t="str">
            <v>Current Expense</v>
          </cell>
          <cell r="D7" t="str">
            <v>Council Auditor</v>
          </cell>
          <cell r="E7">
            <v>12</v>
          </cell>
          <cell r="F7">
            <v>0</v>
          </cell>
          <cell r="G7">
            <v>12</v>
          </cell>
          <cell r="H7">
            <v>0</v>
          </cell>
          <cell r="I7">
            <v>12</v>
          </cell>
          <cell r="J7" t="e">
            <v>#REF!</v>
          </cell>
        </row>
        <row r="8">
          <cell r="B8" t="str">
            <v>0050</v>
          </cell>
          <cell r="C8" t="str">
            <v>Current Expense</v>
          </cell>
          <cell r="D8" t="str">
            <v>Ombudsman/Tax Advisor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 t="e">
            <v>#REF!</v>
          </cell>
        </row>
        <row r="9">
          <cell r="B9" t="str">
            <v>0060</v>
          </cell>
          <cell r="C9" t="str">
            <v>Current Expense</v>
          </cell>
          <cell r="D9" t="str">
            <v>King County Civic Television</v>
          </cell>
          <cell r="E9">
            <v>7</v>
          </cell>
          <cell r="F9">
            <v>0</v>
          </cell>
          <cell r="G9">
            <v>7</v>
          </cell>
          <cell r="H9">
            <v>0</v>
          </cell>
          <cell r="I9">
            <v>7</v>
          </cell>
          <cell r="J9" t="e">
            <v>#REF!</v>
          </cell>
        </row>
        <row r="10">
          <cell r="B10" t="str">
            <v>0070</v>
          </cell>
          <cell r="C10" t="str">
            <v>Current Expense</v>
          </cell>
          <cell r="D10" t="str">
            <v>Board of Appeals</v>
          </cell>
          <cell r="E10">
            <v>4</v>
          </cell>
          <cell r="F10">
            <v>0</v>
          </cell>
          <cell r="G10">
            <v>4</v>
          </cell>
          <cell r="H10">
            <v>0</v>
          </cell>
          <cell r="I10">
            <v>4</v>
          </cell>
          <cell r="J10" t="e">
            <v>#REF!</v>
          </cell>
        </row>
        <row r="11">
          <cell r="B11" t="str">
            <v>0110</v>
          </cell>
          <cell r="C11" t="str">
            <v>Current Expense</v>
          </cell>
          <cell r="D11" t="str">
            <v>County Executive</v>
          </cell>
          <cell r="E11">
            <v>2</v>
          </cell>
          <cell r="F11">
            <v>0</v>
          </cell>
          <cell r="G11">
            <v>2</v>
          </cell>
          <cell r="H11">
            <v>0</v>
          </cell>
          <cell r="I11">
            <v>2</v>
          </cell>
          <cell r="J11" t="e">
            <v>#REF!</v>
          </cell>
        </row>
        <row r="12">
          <cell r="B12" t="str">
            <v>0120</v>
          </cell>
          <cell r="C12" t="str">
            <v>Current Expense</v>
          </cell>
          <cell r="D12" t="str">
            <v>Deputy County Executive</v>
          </cell>
          <cell r="E12">
            <v>27</v>
          </cell>
          <cell r="F12">
            <v>1</v>
          </cell>
          <cell r="G12">
            <v>28</v>
          </cell>
          <cell r="H12">
            <v>0</v>
          </cell>
          <cell r="I12">
            <v>28</v>
          </cell>
          <cell r="J12" t="e">
            <v>#REF!</v>
          </cell>
        </row>
        <row r="13">
          <cell r="B13" t="str">
            <v>0140</v>
          </cell>
          <cell r="C13" t="str">
            <v>Current Expense</v>
          </cell>
          <cell r="D13" t="str">
            <v>Budget Office</v>
          </cell>
          <cell r="E13">
            <v>37</v>
          </cell>
          <cell r="F13">
            <v>0</v>
          </cell>
          <cell r="G13">
            <v>37</v>
          </cell>
          <cell r="H13">
            <v>0</v>
          </cell>
          <cell r="I13">
            <v>37</v>
          </cell>
          <cell r="J13" t="e">
            <v>#REF!</v>
          </cell>
        </row>
        <row r="14">
          <cell r="B14" t="str">
            <v>0150</v>
          </cell>
          <cell r="C14" t="str">
            <v>Current Expense</v>
          </cell>
          <cell r="D14" t="str">
            <v>Finance - CX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#REF!</v>
          </cell>
        </row>
        <row r="15">
          <cell r="B15" t="str">
            <v>0180</v>
          </cell>
          <cell r="C15" t="str">
            <v>Current Expense</v>
          </cell>
          <cell r="D15" t="str">
            <v>Office of Regional Policy &amp; Planning</v>
          </cell>
          <cell r="E15">
            <v>26.5</v>
          </cell>
          <cell r="F15">
            <v>2</v>
          </cell>
          <cell r="G15">
            <v>28.5</v>
          </cell>
          <cell r="H15">
            <v>0</v>
          </cell>
          <cell r="I15">
            <v>29.5</v>
          </cell>
          <cell r="J15" t="e">
            <v>#REF!</v>
          </cell>
        </row>
        <row r="16">
          <cell r="B16" t="str">
            <v>0200</v>
          </cell>
          <cell r="C16" t="str">
            <v>Current Expense</v>
          </cell>
          <cell r="D16" t="str">
            <v>Sheriff</v>
          </cell>
          <cell r="E16">
            <v>872</v>
          </cell>
          <cell r="F16">
            <v>7</v>
          </cell>
          <cell r="G16">
            <v>879</v>
          </cell>
          <cell r="H16">
            <v>32</v>
          </cell>
          <cell r="I16">
            <v>912</v>
          </cell>
          <cell r="J16" t="e">
            <v>#REF!</v>
          </cell>
        </row>
        <row r="17">
          <cell r="B17" t="str">
            <v>0205</v>
          </cell>
          <cell r="C17" t="str">
            <v>Current Expense</v>
          </cell>
          <cell r="D17" t="str">
            <v>Drug Enforcement Forefeits</v>
          </cell>
          <cell r="E17">
            <v>2</v>
          </cell>
          <cell r="F17">
            <v>0</v>
          </cell>
          <cell r="G17">
            <v>2</v>
          </cell>
          <cell r="H17">
            <v>0</v>
          </cell>
          <cell r="I17">
            <v>2</v>
          </cell>
          <cell r="J17" t="e">
            <v>#REF!</v>
          </cell>
        </row>
        <row r="18">
          <cell r="B18" t="str">
            <v>0305</v>
          </cell>
          <cell r="C18" t="str">
            <v>Current Expense</v>
          </cell>
          <cell r="D18" t="str">
            <v>Office of Cultural Resources</v>
          </cell>
          <cell r="E18">
            <v>14</v>
          </cell>
          <cell r="F18">
            <v>0</v>
          </cell>
          <cell r="G18">
            <v>14</v>
          </cell>
          <cell r="H18">
            <v>0</v>
          </cell>
          <cell r="I18">
            <v>14</v>
          </cell>
          <cell r="J18" t="e">
            <v>#REF!</v>
          </cell>
        </row>
        <row r="19">
          <cell r="B19" t="str">
            <v>0340</v>
          </cell>
          <cell r="C19" t="str">
            <v>Current Expense</v>
          </cell>
          <cell r="D19" t="str">
            <v>Parks &amp; Recreation</v>
          </cell>
          <cell r="E19">
            <v>257.03</v>
          </cell>
          <cell r="F19">
            <v>1</v>
          </cell>
          <cell r="G19">
            <v>258.03</v>
          </cell>
          <cell r="H19">
            <v>-3.6</v>
          </cell>
          <cell r="I19">
            <v>254.43</v>
          </cell>
          <cell r="J19" t="e">
            <v>#REF!</v>
          </cell>
        </row>
        <row r="20">
          <cell r="B20" t="str">
            <v>0383</v>
          </cell>
          <cell r="C20" t="str">
            <v>Current Expense</v>
          </cell>
          <cell r="D20" t="str">
            <v>Resource Lands &amp; Open Space</v>
          </cell>
          <cell r="E20">
            <v>32</v>
          </cell>
          <cell r="F20">
            <v>-1</v>
          </cell>
          <cell r="G20">
            <v>31</v>
          </cell>
          <cell r="H20">
            <v>3</v>
          </cell>
          <cell r="I20">
            <v>34</v>
          </cell>
          <cell r="J20" t="e">
            <v>#REF!</v>
          </cell>
        </row>
        <row r="21">
          <cell r="B21" t="str">
            <v>0400</v>
          </cell>
          <cell r="C21" t="str">
            <v>Current Expense</v>
          </cell>
          <cell r="D21" t="str">
            <v>Information &amp; Administrative Services., Admin.</v>
          </cell>
          <cell r="E21">
            <v>13</v>
          </cell>
          <cell r="F21">
            <v>0</v>
          </cell>
          <cell r="G21">
            <v>13</v>
          </cell>
          <cell r="H21">
            <v>1</v>
          </cell>
          <cell r="I21">
            <v>14</v>
          </cell>
          <cell r="J21" t="e">
            <v>#REF!</v>
          </cell>
        </row>
        <row r="22">
          <cell r="B22" t="str">
            <v>0401</v>
          </cell>
          <cell r="C22" t="str">
            <v>Current Expense</v>
          </cell>
          <cell r="D22" t="str">
            <v>Office of Emergency Management</v>
          </cell>
          <cell r="E22">
            <v>7</v>
          </cell>
          <cell r="F22">
            <v>0</v>
          </cell>
          <cell r="G22">
            <v>7</v>
          </cell>
          <cell r="H22">
            <v>0</v>
          </cell>
          <cell r="I22">
            <v>7</v>
          </cell>
          <cell r="J22" t="e">
            <v>#REF!</v>
          </cell>
        </row>
        <row r="23">
          <cell r="B23" t="str">
            <v>0410</v>
          </cell>
          <cell r="C23" t="str">
            <v>Current Expense</v>
          </cell>
          <cell r="D23" t="str">
            <v>Licensing &amp; Regulatory Services</v>
          </cell>
          <cell r="E23">
            <v>91</v>
          </cell>
          <cell r="F23">
            <v>0</v>
          </cell>
          <cell r="G23">
            <v>91</v>
          </cell>
          <cell r="H23">
            <v>3</v>
          </cell>
          <cell r="I23">
            <v>94</v>
          </cell>
          <cell r="J23" t="e">
            <v>#REF!</v>
          </cell>
        </row>
        <row r="24">
          <cell r="B24" t="str">
            <v>0420</v>
          </cell>
          <cell r="C24" t="str">
            <v>Current Expense</v>
          </cell>
          <cell r="D24" t="str">
            <v>Office of Human Resources Management</v>
          </cell>
          <cell r="E24">
            <v>78</v>
          </cell>
          <cell r="F24">
            <v>-3.5</v>
          </cell>
          <cell r="G24">
            <v>74.5</v>
          </cell>
          <cell r="H24">
            <v>0.5</v>
          </cell>
          <cell r="I24">
            <v>75</v>
          </cell>
          <cell r="J24" t="e">
            <v>#REF!</v>
          </cell>
        </row>
        <row r="25">
          <cell r="B25" t="str">
            <v>0437</v>
          </cell>
          <cell r="C25" t="str">
            <v>Current Expense</v>
          </cell>
          <cell r="D25" t="str">
            <v>Cable Communications</v>
          </cell>
          <cell r="E25">
            <v>16</v>
          </cell>
          <cell r="F25">
            <v>0</v>
          </cell>
          <cell r="G25">
            <v>16</v>
          </cell>
          <cell r="H25">
            <v>0</v>
          </cell>
          <cell r="I25">
            <v>16</v>
          </cell>
          <cell r="J25" t="e">
            <v>#REF!</v>
          </cell>
        </row>
        <row r="26">
          <cell r="B26" t="str">
            <v>0440</v>
          </cell>
          <cell r="C26" t="str">
            <v>Current Expense</v>
          </cell>
          <cell r="D26" t="str">
            <v>Property Services</v>
          </cell>
          <cell r="E26">
            <v>36</v>
          </cell>
          <cell r="F26">
            <v>0</v>
          </cell>
          <cell r="G26">
            <v>36</v>
          </cell>
          <cell r="H26">
            <v>0</v>
          </cell>
          <cell r="I26">
            <v>36</v>
          </cell>
          <cell r="J26" t="e">
            <v>#REF!</v>
          </cell>
        </row>
        <row r="27">
          <cell r="B27" t="str">
            <v>0450</v>
          </cell>
          <cell r="C27" t="str">
            <v>Current Expense</v>
          </cell>
          <cell r="D27" t="str">
            <v>Facilities Management--CX</v>
          </cell>
          <cell r="E27">
            <v>33.4</v>
          </cell>
          <cell r="F27">
            <v>0</v>
          </cell>
          <cell r="G27">
            <v>33.4</v>
          </cell>
          <cell r="H27">
            <v>2</v>
          </cell>
          <cell r="I27">
            <v>35.4</v>
          </cell>
          <cell r="J27" t="e">
            <v>#REF!</v>
          </cell>
        </row>
        <row r="28">
          <cell r="B28" t="str">
            <v>0470</v>
          </cell>
          <cell r="C28" t="str">
            <v>Current Expense</v>
          </cell>
          <cell r="D28" t="str">
            <v>Records &amp; Elections</v>
          </cell>
          <cell r="E28">
            <v>80.63</v>
          </cell>
          <cell r="F28">
            <v>0</v>
          </cell>
          <cell r="G28">
            <v>80.63</v>
          </cell>
          <cell r="H28">
            <v>1.98</v>
          </cell>
          <cell r="I28">
            <v>82.61</v>
          </cell>
          <cell r="J28" t="e">
            <v>#REF!</v>
          </cell>
        </row>
        <row r="29">
          <cell r="B29" t="str">
            <v>0500</v>
          </cell>
          <cell r="C29" t="str">
            <v>Current Expense</v>
          </cell>
          <cell r="D29" t="str">
            <v>Prosecuting Attorney</v>
          </cell>
          <cell r="E29">
            <v>443.11</v>
          </cell>
          <cell r="F29">
            <v>-0</v>
          </cell>
          <cell r="G29">
            <v>443.1</v>
          </cell>
          <cell r="H29">
            <v>9</v>
          </cell>
          <cell r="I29">
            <v>452.1</v>
          </cell>
          <cell r="J29" t="e">
            <v>#REF!</v>
          </cell>
        </row>
        <row r="30">
          <cell r="B30" t="str">
            <v>0501</v>
          </cell>
          <cell r="C30" t="str">
            <v>Current Expense</v>
          </cell>
          <cell r="D30" t="str">
            <v>Prosecuting Attorney Antiprofiteering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#REF!</v>
          </cell>
        </row>
        <row r="31">
          <cell r="B31" t="str">
            <v>0510</v>
          </cell>
          <cell r="C31" t="str">
            <v>Current Expense</v>
          </cell>
          <cell r="D31" t="str">
            <v>Superior Court</v>
          </cell>
          <cell r="E31">
            <v>270.5</v>
          </cell>
          <cell r="F31">
            <v>-0.9</v>
          </cell>
          <cell r="G31">
            <v>269.6</v>
          </cell>
          <cell r="H31">
            <v>11.8</v>
          </cell>
          <cell r="I31">
            <v>281.4</v>
          </cell>
          <cell r="J31" t="e">
            <v>#REF!</v>
          </cell>
        </row>
        <row r="32">
          <cell r="B32" t="str">
            <v>0530</v>
          </cell>
          <cell r="C32" t="str">
            <v>Current Expense</v>
          </cell>
          <cell r="D32" t="str">
            <v>District Court</v>
          </cell>
          <cell r="E32">
            <v>254.44</v>
          </cell>
          <cell r="F32">
            <v>-0.34</v>
          </cell>
          <cell r="G32">
            <v>254.1</v>
          </cell>
          <cell r="H32">
            <v>10.5</v>
          </cell>
          <cell r="I32">
            <v>264.6</v>
          </cell>
          <cell r="J32" t="e">
            <v>#REF!</v>
          </cell>
        </row>
        <row r="33">
          <cell r="B33" t="str">
            <v>0540</v>
          </cell>
          <cell r="C33" t="str">
            <v>Current Expense</v>
          </cell>
          <cell r="D33" t="str">
            <v>Judicial Administration</v>
          </cell>
          <cell r="E33">
            <v>175</v>
          </cell>
          <cell r="F33">
            <v>1</v>
          </cell>
          <cell r="G33">
            <v>176</v>
          </cell>
          <cell r="H33">
            <v>6.5</v>
          </cell>
          <cell r="I33">
            <v>182.5</v>
          </cell>
          <cell r="J33" t="e">
            <v>#REF!</v>
          </cell>
        </row>
        <row r="34">
          <cell r="B34" t="str">
            <v>0570</v>
          </cell>
          <cell r="C34" t="str">
            <v>Current Expense</v>
          </cell>
          <cell r="D34" t="str">
            <v>Youth Services</v>
          </cell>
          <cell r="E34">
            <v>278.28</v>
          </cell>
          <cell r="F34">
            <v>2</v>
          </cell>
          <cell r="G34">
            <v>280.28</v>
          </cell>
          <cell r="H34">
            <v>0.75</v>
          </cell>
          <cell r="I34">
            <v>281.03</v>
          </cell>
          <cell r="J34" t="e">
            <v>#REF!</v>
          </cell>
        </row>
        <row r="35">
          <cell r="B35" t="str">
            <v>0610</v>
          </cell>
          <cell r="C35" t="str">
            <v>Current Expense</v>
          </cell>
          <cell r="D35" t="str">
            <v>State Auditor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#REF!</v>
          </cell>
        </row>
        <row r="36">
          <cell r="B36" t="str">
            <v>0630</v>
          </cell>
          <cell r="C36" t="str">
            <v>Current Expense</v>
          </cell>
          <cell r="D36" t="str">
            <v>Boundary Review Board</v>
          </cell>
          <cell r="E36">
            <v>2.5</v>
          </cell>
          <cell r="F36">
            <v>0</v>
          </cell>
          <cell r="G36">
            <v>2.5</v>
          </cell>
          <cell r="H36">
            <v>-0.5</v>
          </cell>
          <cell r="I36">
            <v>2</v>
          </cell>
          <cell r="J36" t="e">
            <v>#REF!</v>
          </cell>
        </row>
        <row r="37">
          <cell r="B37" t="str">
            <v>0650</v>
          </cell>
          <cell r="C37" t="str">
            <v>Current Expense</v>
          </cell>
          <cell r="D37" t="str">
            <v>Special Programs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#REF!</v>
          </cell>
        </row>
        <row r="38">
          <cell r="B38" t="str">
            <v>0654</v>
          </cell>
          <cell r="C38" t="str">
            <v>Current Expense</v>
          </cell>
          <cell r="D38" t="str">
            <v>Salary &amp; Wage Contingency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#REF!</v>
          </cell>
        </row>
        <row r="39">
          <cell r="B39" t="str">
            <v>0655</v>
          </cell>
          <cell r="C39" t="str">
            <v>Current Expense</v>
          </cell>
          <cell r="D39" t="str">
            <v>Executive Contingency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#REF!</v>
          </cell>
        </row>
        <row r="40">
          <cell r="B40" t="str">
            <v>0656</v>
          </cell>
          <cell r="C40" t="str">
            <v>Current Expense</v>
          </cell>
          <cell r="D40" t="str">
            <v>Internal Support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#REF!</v>
          </cell>
        </row>
        <row r="41">
          <cell r="B41" t="str">
            <v>0670</v>
          </cell>
          <cell r="C41" t="str">
            <v>Current Expense</v>
          </cell>
          <cell r="D41" t="str">
            <v>Assessments</v>
          </cell>
          <cell r="E41">
            <v>242.7</v>
          </cell>
          <cell r="F41">
            <v>0</v>
          </cell>
          <cell r="G41">
            <v>242.7</v>
          </cell>
          <cell r="H41">
            <v>4</v>
          </cell>
          <cell r="I41">
            <v>246.7</v>
          </cell>
          <cell r="J41" t="e">
            <v>#REF!</v>
          </cell>
        </row>
        <row r="42">
          <cell r="B42" t="str">
            <v>0690</v>
          </cell>
          <cell r="C42" t="str">
            <v>Current Expense</v>
          </cell>
          <cell r="D42" t="str">
            <v>CX Transfers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#REF!</v>
          </cell>
        </row>
        <row r="43">
          <cell r="B43" t="str">
            <v>0910</v>
          </cell>
          <cell r="C43" t="str">
            <v>Current Expense</v>
          </cell>
          <cell r="D43" t="str">
            <v>Adult Detention</v>
          </cell>
          <cell r="E43">
            <v>818</v>
          </cell>
          <cell r="F43">
            <v>0.25</v>
          </cell>
          <cell r="G43">
            <v>818.25</v>
          </cell>
          <cell r="H43">
            <v>6.92</v>
          </cell>
          <cell r="I43">
            <v>825.17</v>
          </cell>
          <cell r="J43" t="e">
            <v>#REF!</v>
          </cell>
        </row>
        <row r="44">
          <cell r="B44" t="str">
            <v>0934</v>
          </cell>
          <cell r="C44" t="str">
            <v>Current Expense</v>
          </cell>
          <cell r="D44" t="str">
            <v>Community Services</v>
          </cell>
          <cell r="E44">
            <v>38.15</v>
          </cell>
          <cell r="F44">
            <v>0</v>
          </cell>
          <cell r="G44">
            <v>38.15</v>
          </cell>
          <cell r="H44">
            <v>1.39</v>
          </cell>
          <cell r="I44">
            <v>39.04</v>
          </cell>
          <cell r="J44" t="e">
            <v>#REF!</v>
          </cell>
        </row>
        <row r="45">
          <cell r="B45" t="str">
            <v>0950</v>
          </cell>
          <cell r="C45" t="str">
            <v>Current Expense</v>
          </cell>
          <cell r="D45" t="str">
            <v>Public Defense</v>
          </cell>
          <cell r="E45">
            <v>23.5</v>
          </cell>
          <cell r="F45">
            <v>0</v>
          </cell>
          <cell r="G45">
            <v>23.5</v>
          </cell>
          <cell r="H45">
            <v>1</v>
          </cell>
          <cell r="I45">
            <v>24.5</v>
          </cell>
          <cell r="J45" t="e">
            <v>#REF!</v>
          </cell>
        </row>
        <row r="46">
          <cell r="B46" t="str">
            <v>0651</v>
          </cell>
          <cell r="C46" t="str">
            <v>Sales Tax Reserve Contingency</v>
          </cell>
          <cell r="D46" t="str">
            <v>Sales Tax Reserve Contingency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#REF!</v>
          </cell>
        </row>
        <row r="47">
          <cell r="B47" t="str">
            <v>0680</v>
          </cell>
          <cell r="C47" t="str">
            <v>Children &amp; Family Set-Aside</v>
          </cell>
          <cell r="D47" t="str">
            <v>Children/Family Services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#REF!</v>
          </cell>
        </row>
        <row r="48">
          <cell r="B48" t="str">
            <v>0914</v>
          </cell>
          <cell r="C48" t="str">
            <v>Inmate Welfare</v>
          </cell>
          <cell r="D48" t="str">
            <v>Inmate Welfare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#REF!</v>
          </cell>
        </row>
        <row r="49">
          <cell r="B49" t="str">
            <v>0142</v>
          </cell>
          <cell r="C49" t="str">
            <v>Criminal Justice</v>
          </cell>
          <cell r="D49" t="str">
            <v>Budget (OBSP)/CJ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#REF!</v>
          </cell>
        </row>
        <row r="50">
          <cell r="B50" t="str">
            <v>0201</v>
          </cell>
          <cell r="C50" t="str">
            <v>Criminal Justice</v>
          </cell>
          <cell r="D50" t="str">
            <v>Sheriff/CJ</v>
          </cell>
          <cell r="E50">
            <v>46.5</v>
          </cell>
          <cell r="F50">
            <v>0</v>
          </cell>
          <cell r="G50">
            <v>46.5</v>
          </cell>
          <cell r="H50">
            <v>0</v>
          </cell>
          <cell r="I50">
            <v>46.5</v>
          </cell>
          <cell r="J50" t="e">
            <v>#REF!</v>
          </cell>
        </row>
        <row r="51">
          <cell r="B51" t="str">
            <v>0339</v>
          </cell>
          <cell r="C51" t="str">
            <v>Criminal Justice</v>
          </cell>
          <cell r="D51" t="str">
            <v>Parks &amp; Recreation/CJ</v>
          </cell>
          <cell r="E51">
            <v>3</v>
          </cell>
          <cell r="F51">
            <v>0</v>
          </cell>
          <cell r="G51">
            <v>3</v>
          </cell>
          <cell r="H51">
            <v>0</v>
          </cell>
          <cell r="I51">
            <v>3</v>
          </cell>
          <cell r="J51" t="e">
            <v>#REF!</v>
          </cell>
        </row>
        <row r="52">
          <cell r="B52" t="str">
            <v>0502</v>
          </cell>
          <cell r="C52" t="str">
            <v>Criminal Justice</v>
          </cell>
          <cell r="D52" t="str">
            <v>Prosecuting Attorney/CJ</v>
          </cell>
          <cell r="E52">
            <v>46</v>
          </cell>
          <cell r="F52">
            <v>0</v>
          </cell>
          <cell r="G52">
            <v>46</v>
          </cell>
          <cell r="H52">
            <v>0</v>
          </cell>
          <cell r="I52">
            <v>46</v>
          </cell>
          <cell r="J52" t="e">
            <v>#REF!</v>
          </cell>
        </row>
        <row r="53">
          <cell r="B53" t="str">
            <v>0512</v>
          </cell>
          <cell r="C53" t="str">
            <v>Criminal Justice</v>
          </cell>
          <cell r="D53" t="str">
            <v>Superior Court/CJ</v>
          </cell>
          <cell r="E53">
            <v>8</v>
          </cell>
          <cell r="F53">
            <v>0</v>
          </cell>
          <cell r="G53">
            <v>8</v>
          </cell>
          <cell r="H53">
            <v>1</v>
          </cell>
          <cell r="I53">
            <v>9</v>
          </cell>
          <cell r="J53" t="e">
            <v>#REF!</v>
          </cell>
        </row>
        <row r="54">
          <cell r="B54" t="str">
            <v>0532</v>
          </cell>
          <cell r="C54" t="str">
            <v>Criminal Justice</v>
          </cell>
          <cell r="D54" t="str">
            <v>District Court/CJ</v>
          </cell>
          <cell r="E54">
            <v>26.66</v>
          </cell>
          <cell r="F54">
            <v>0.34</v>
          </cell>
          <cell r="G54">
            <v>27</v>
          </cell>
          <cell r="H54">
            <v>0</v>
          </cell>
          <cell r="I54">
            <v>27</v>
          </cell>
          <cell r="J54" t="e">
            <v>#REF!</v>
          </cell>
        </row>
        <row r="55">
          <cell r="B55" t="str">
            <v>0542</v>
          </cell>
          <cell r="C55" t="str">
            <v>Criminal Justice</v>
          </cell>
          <cell r="D55" t="str">
            <v>Judicial Administration/CJ</v>
          </cell>
          <cell r="E55">
            <v>9.5</v>
          </cell>
          <cell r="F55">
            <v>0</v>
          </cell>
          <cell r="G55">
            <v>9.5</v>
          </cell>
          <cell r="H55">
            <v>0</v>
          </cell>
          <cell r="I55">
            <v>9.5</v>
          </cell>
          <cell r="J55" t="e">
            <v>#REF!</v>
          </cell>
        </row>
        <row r="56">
          <cell r="B56" t="str">
            <v>0572</v>
          </cell>
          <cell r="C56" t="str">
            <v>Criminal Justice</v>
          </cell>
          <cell r="D56" t="str">
            <v>Youth Services/CJ</v>
          </cell>
          <cell r="E56">
            <v>34.75</v>
          </cell>
          <cell r="F56">
            <v>0</v>
          </cell>
          <cell r="G56">
            <v>34.75</v>
          </cell>
          <cell r="H56">
            <v>0</v>
          </cell>
          <cell r="I56">
            <v>34.75</v>
          </cell>
          <cell r="J56" t="e">
            <v>#REF!</v>
          </cell>
        </row>
        <row r="57">
          <cell r="B57" t="str">
            <v>0652</v>
          </cell>
          <cell r="C57" t="str">
            <v>Criminal Justice</v>
          </cell>
          <cell r="D57" t="str">
            <v>Special Programs/CJ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#REF!</v>
          </cell>
        </row>
        <row r="58">
          <cell r="B58" t="str">
            <v>0692</v>
          </cell>
          <cell r="C58" t="str">
            <v>Criminal Justice</v>
          </cell>
          <cell r="D58" t="str">
            <v>Capital Projects Transfer/CJ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#REF!</v>
          </cell>
        </row>
        <row r="59">
          <cell r="B59" t="str">
            <v>0693</v>
          </cell>
          <cell r="C59" t="str">
            <v>Criminal Justice</v>
          </cell>
          <cell r="D59" t="str">
            <v>Transfer to Other Funds/CJ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#REF!</v>
          </cell>
        </row>
        <row r="60">
          <cell r="B60" t="str">
            <v>0912</v>
          </cell>
          <cell r="C60" t="str">
            <v>Criminal Justice</v>
          </cell>
          <cell r="D60" t="str">
            <v>Adult Detention/CJ</v>
          </cell>
          <cell r="E60">
            <v>3.75</v>
          </cell>
          <cell r="F60">
            <v>-3.75</v>
          </cell>
          <cell r="G60">
            <v>0</v>
          </cell>
          <cell r="H60">
            <v>0</v>
          </cell>
          <cell r="I60">
            <v>0</v>
          </cell>
          <cell r="J60" t="e">
            <v>#REF!</v>
          </cell>
        </row>
        <row r="61">
          <cell r="B61" t="str">
            <v>0932</v>
          </cell>
          <cell r="C61" t="str">
            <v>Criminal Justice</v>
          </cell>
          <cell r="D61" t="str">
            <v>Human Services/CJ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#REF!</v>
          </cell>
        </row>
        <row r="62">
          <cell r="B62" t="str">
            <v>0952</v>
          </cell>
          <cell r="C62" t="str">
            <v>Criminal Justice</v>
          </cell>
          <cell r="D62" t="str">
            <v>Public Defense/CJ*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#REF!</v>
          </cell>
        </row>
        <row r="63">
          <cell r="B63" t="str">
            <v>0726</v>
          </cell>
          <cell r="C63" t="str">
            <v>Road</v>
          </cell>
          <cell r="D63" t="str">
            <v>Stormwater Decant Program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#REF!</v>
          </cell>
        </row>
        <row r="64">
          <cell r="B64" t="str">
            <v>0730</v>
          </cell>
          <cell r="C64" t="str">
            <v>Road</v>
          </cell>
          <cell r="D64" t="str">
            <v>Roads</v>
          </cell>
          <cell r="E64">
            <v>592</v>
          </cell>
          <cell r="F64">
            <v>0</v>
          </cell>
          <cell r="G64">
            <v>592</v>
          </cell>
          <cell r="H64">
            <v>6</v>
          </cell>
          <cell r="I64">
            <v>598</v>
          </cell>
          <cell r="J64" t="e">
            <v>#REF!</v>
          </cell>
        </row>
        <row r="65">
          <cell r="B65" t="str">
            <v>0734</v>
          </cell>
          <cell r="C65" t="str">
            <v>Road</v>
          </cell>
          <cell r="D65" t="str">
            <v>Roads Construction Transfer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#REF!</v>
          </cell>
        </row>
        <row r="66">
          <cell r="B66" t="str">
            <v>0715</v>
          </cell>
          <cell r="C66" t="str">
            <v>Solid Waste Post Closure Landfill Maintenance</v>
          </cell>
          <cell r="D66" t="str">
            <v>Solid Waste Post-Closure Landfill Maintenance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#REF!</v>
          </cell>
        </row>
        <row r="67">
          <cell r="B67" t="str">
            <v>0740</v>
          </cell>
          <cell r="C67" t="str">
            <v>River Improvement</v>
          </cell>
          <cell r="D67" t="str">
            <v>River Improvement</v>
          </cell>
          <cell r="E67">
            <v>18</v>
          </cell>
          <cell r="F67">
            <v>0</v>
          </cell>
          <cell r="G67">
            <v>18</v>
          </cell>
          <cell r="H67">
            <v>-3</v>
          </cell>
          <cell r="I67">
            <v>15</v>
          </cell>
          <cell r="J67" t="e">
            <v>#REF!</v>
          </cell>
        </row>
        <row r="68">
          <cell r="B68" t="str">
            <v>0480</v>
          </cell>
          <cell r="C68" t="str">
            <v>Veterans Relief  Services</v>
          </cell>
          <cell r="D68" t="str">
            <v>Veterans Services</v>
          </cell>
          <cell r="E68">
            <v>7</v>
          </cell>
          <cell r="F68">
            <v>0</v>
          </cell>
          <cell r="G68">
            <v>7</v>
          </cell>
          <cell r="H68">
            <v>0</v>
          </cell>
          <cell r="I68">
            <v>7</v>
          </cell>
          <cell r="J68" t="e">
            <v>#REF!</v>
          </cell>
        </row>
        <row r="69">
          <cell r="B69" t="str">
            <v>0920</v>
          </cell>
          <cell r="C69" t="str">
            <v>Developmental Disabilities</v>
          </cell>
          <cell r="D69" t="str">
            <v>Developmental Disabilities</v>
          </cell>
          <cell r="E69">
            <v>13.5</v>
          </cell>
          <cell r="F69">
            <v>0</v>
          </cell>
          <cell r="G69">
            <v>13.5</v>
          </cell>
          <cell r="H69">
            <v>0.5</v>
          </cell>
          <cell r="I69">
            <v>14</v>
          </cell>
          <cell r="J69" t="e">
            <v>#REF!</v>
          </cell>
        </row>
        <row r="70">
          <cell r="B70" t="str">
            <v>0935</v>
          </cell>
          <cell r="C70" t="str">
            <v>Developmental Disabilities</v>
          </cell>
          <cell r="D70" t="str">
            <v>Community &amp; Human Services, Admin.</v>
          </cell>
          <cell r="E70">
            <v>11.5</v>
          </cell>
          <cell r="F70">
            <v>-2</v>
          </cell>
          <cell r="G70">
            <v>9.5</v>
          </cell>
          <cell r="H70">
            <v>2.5</v>
          </cell>
          <cell r="I70">
            <v>12</v>
          </cell>
          <cell r="J70" t="e">
            <v>#REF!</v>
          </cell>
        </row>
        <row r="71">
          <cell r="B71" t="str">
            <v>0471</v>
          </cell>
          <cell r="C71" t="str">
            <v>Recorder's O &amp; M</v>
          </cell>
          <cell r="D71" t="str">
            <v>Recorder's O&amp;M</v>
          </cell>
          <cell r="E71">
            <v>5.5</v>
          </cell>
          <cell r="F71">
            <v>0</v>
          </cell>
          <cell r="G71">
            <v>5.5</v>
          </cell>
          <cell r="H71">
            <v>0</v>
          </cell>
          <cell r="I71">
            <v>5.5</v>
          </cell>
          <cell r="J71" t="e">
            <v>#REF!</v>
          </cell>
        </row>
        <row r="72">
          <cell r="B72" t="str">
            <v>0431</v>
          </cell>
          <cell r="C72" t="str">
            <v>E-911</v>
          </cell>
          <cell r="D72" t="str">
            <v>Enhanced-911</v>
          </cell>
          <cell r="E72">
            <v>4</v>
          </cell>
          <cell r="F72">
            <v>0</v>
          </cell>
          <cell r="G72">
            <v>4</v>
          </cell>
          <cell r="H72">
            <v>1</v>
          </cell>
          <cell r="I72">
            <v>5</v>
          </cell>
          <cell r="J72" t="e">
            <v>#REF!</v>
          </cell>
        </row>
        <row r="73">
          <cell r="B73" t="str">
            <v>0924</v>
          </cell>
          <cell r="C73" t="str">
            <v>Mental Health</v>
          </cell>
          <cell r="D73" t="str">
            <v>Mental Health</v>
          </cell>
          <cell r="E73">
            <v>66.25</v>
          </cell>
          <cell r="F73">
            <v>0</v>
          </cell>
          <cell r="G73">
            <v>66.25</v>
          </cell>
          <cell r="H73">
            <v>20</v>
          </cell>
          <cell r="I73">
            <v>88.25</v>
          </cell>
          <cell r="J73" t="e">
            <v>#REF!</v>
          </cell>
        </row>
        <row r="74">
          <cell r="B74" t="str">
            <v>0301</v>
          </cell>
          <cell r="C74" t="str">
            <v>Arts and Cultural Development</v>
          </cell>
          <cell r="D74" t="str">
            <v>Cultural Development</v>
          </cell>
          <cell r="E74">
            <v>7</v>
          </cell>
          <cell r="F74">
            <v>0</v>
          </cell>
          <cell r="G74">
            <v>7</v>
          </cell>
          <cell r="H74">
            <v>0</v>
          </cell>
          <cell r="I74">
            <v>7</v>
          </cell>
          <cell r="J74" t="e">
            <v>#REF!</v>
          </cell>
        </row>
        <row r="75">
          <cell r="B75" t="str">
            <v>0830</v>
          </cell>
          <cell r="C75" t="str">
            <v>Emergency Medical Services</v>
          </cell>
          <cell r="D75" t="str">
            <v>Emergency Medical Services (EMS)</v>
          </cell>
          <cell r="E75">
            <v>90.32</v>
          </cell>
          <cell r="F75">
            <v>-0</v>
          </cell>
          <cell r="G75">
            <v>90.32</v>
          </cell>
          <cell r="H75">
            <v>0.18</v>
          </cell>
          <cell r="I75">
            <v>90.5</v>
          </cell>
          <cell r="J75" t="e">
            <v>#REF!</v>
          </cell>
        </row>
        <row r="76">
          <cell r="B76" t="str">
            <v>0741</v>
          </cell>
          <cell r="C76" t="str">
            <v>Water and Land Resources</v>
          </cell>
          <cell r="D76" t="str">
            <v>Water &amp; Land Resources (SWM)</v>
          </cell>
          <cell r="E76">
            <v>299.82</v>
          </cell>
          <cell r="F76">
            <v>-0.01</v>
          </cell>
          <cell r="G76">
            <v>299.81</v>
          </cell>
          <cell r="H76">
            <v>10.75</v>
          </cell>
          <cell r="I76">
            <v>310.56</v>
          </cell>
          <cell r="J76" t="e">
            <v>#REF!</v>
          </cell>
        </row>
        <row r="77">
          <cell r="B77" t="str">
            <v>0208</v>
          </cell>
          <cell r="C77" t="str">
            <v>AFIS</v>
          </cell>
          <cell r="D77" t="str">
            <v>Automated Fingerprint Identification System</v>
          </cell>
          <cell r="E77">
            <v>75</v>
          </cell>
          <cell r="F77">
            <v>0</v>
          </cell>
          <cell r="G77">
            <v>75</v>
          </cell>
          <cell r="H77">
            <v>2</v>
          </cell>
          <cell r="I77">
            <v>77</v>
          </cell>
          <cell r="J77" t="e">
            <v>#REF!</v>
          </cell>
        </row>
        <row r="78">
          <cell r="B78" t="str">
            <v>0960</v>
          </cell>
          <cell r="C78" t="str">
            <v>Alcoholism &amp; Substance Abuse Services</v>
          </cell>
          <cell r="D78" t="str">
            <v>Alcoholism and Substance Abuse</v>
          </cell>
          <cell r="E78">
            <v>100</v>
          </cell>
          <cell r="F78">
            <v>0</v>
          </cell>
          <cell r="G78">
            <v>100</v>
          </cell>
          <cell r="H78">
            <v>-11</v>
          </cell>
          <cell r="I78">
            <v>89</v>
          </cell>
          <cell r="J78" t="e">
            <v>#REF!</v>
          </cell>
        </row>
        <row r="79">
          <cell r="B79" t="str">
            <v>0145</v>
          </cell>
          <cell r="C79" t="str">
            <v>REET #1</v>
          </cell>
          <cell r="D79" t="str">
            <v>Real Estate Excise Tax (REET #1)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#REF!</v>
          </cell>
        </row>
        <row r="80">
          <cell r="B80" t="str">
            <v>0860</v>
          </cell>
          <cell r="C80" t="str">
            <v>Local Hazardous Waste</v>
          </cell>
          <cell r="D80" t="str">
            <v>Local Hazardous Waste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#REF!</v>
          </cell>
        </row>
        <row r="81">
          <cell r="B81" t="str">
            <v>0355</v>
          </cell>
          <cell r="C81" t="str">
            <v>Youth Sports Facilities Grants</v>
          </cell>
          <cell r="D81" t="str">
            <v>Youth Sports Facilities Grant</v>
          </cell>
          <cell r="E81">
            <v>1</v>
          </cell>
          <cell r="F81">
            <v>0</v>
          </cell>
          <cell r="G81">
            <v>1</v>
          </cell>
          <cell r="H81">
            <v>0</v>
          </cell>
          <cell r="I81">
            <v>1</v>
          </cell>
          <cell r="J81" t="e">
            <v>#REF!</v>
          </cell>
        </row>
        <row r="82">
          <cell r="B82" t="str">
            <v>0149</v>
          </cell>
          <cell r="C82" t="str">
            <v>REET #2</v>
          </cell>
          <cell r="D82" t="str">
            <v>Real Estate Excise Tax (REET #2)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#REF!</v>
          </cell>
        </row>
        <row r="83">
          <cell r="B83" t="str">
            <v>0384</v>
          </cell>
          <cell r="C83" t="str">
            <v>Noxious Weed</v>
          </cell>
          <cell r="D83" t="str">
            <v>Noxious Weed Control Program</v>
          </cell>
          <cell r="E83">
            <v>2.5</v>
          </cell>
          <cell r="F83">
            <v>0</v>
          </cell>
          <cell r="G83">
            <v>2.5</v>
          </cell>
          <cell r="H83">
            <v>0</v>
          </cell>
          <cell r="I83">
            <v>2.5</v>
          </cell>
          <cell r="J83" t="e">
            <v>#REF!</v>
          </cell>
        </row>
        <row r="84">
          <cell r="B84" t="str">
            <v>0325</v>
          </cell>
          <cell r="C84" t="str">
            <v>Development &amp; Environmental Service</v>
          </cell>
          <cell r="D84" t="str">
            <v>Development &amp; Environmental Svcs. (DDES)</v>
          </cell>
          <cell r="E84">
            <v>336</v>
          </cell>
          <cell r="F84">
            <v>-46.5</v>
          </cell>
          <cell r="G84">
            <v>289.5</v>
          </cell>
          <cell r="H84">
            <v>84.5</v>
          </cell>
          <cell r="I84">
            <v>374</v>
          </cell>
          <cell r="J84" t="e">
            <v>#REF!</v>
          </cell>
        </row>
        <row r="85">
          <cell r="B85" t="str">
            <v>0800</v>
          </cell>
          <cell r="C85" t="str">
            <v>Public Health</v>
          </cell>
          <cell r="D85" t="str">
            <v>Public Health</v>
          </cell>
          <cell r="E85">
            <v>1344.08</v>
          </cell>
          <cell r="F85">
            <v>-0.02</v>
          </cell>
          <cell r="G85">
            <v>1344.07</v>
          </cell>
          <cell r="H85">
            <v>9.549999999999994</v>
          </cell>
          <cell r="I85">
            <v>1353.62</v>
          </cell>
          <cell r="J85" t="e">
            <v>#REF!</v>
          </cell>
        </row>
        <row r="86">
          <cell r="B86" t="str">
            <v>0760</v>
          </cell>
          <cell r="C86" t="str">
            <v>Inter-County River Improvements</v>
          </cell>
          <cell r="D86" t="str">
            <v>Inter-County River Improvement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#REF!</v>
          </cell>
        </row>
        <row r="87">
          <cell r="B87" t="str">
            <v>0341</v>
          </cell>
          <cell r="C87" t="str">
            <v>Parks Equipment Replacement</v>
          </cell>
          <cell r="D87" t="str">
            <v>Parks Equipment Replacement Fund (PERF)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#REF!</v>
          </cell>
        </row>
        <row r="88">
          <cell r="B88" t="str">
            <v>2140</v>
          </cell>
          <cell r="C88" t="str">
            <v>Grants</v>
          </cell>
          <cell r="D88" t="str">
            <v>Grants Fund</v>
          </cell>
          <cell r="E88">
            <v>70.77</v>
          </cell>
          <cell r="F88">
            <v>0</v>
          </cell>
          <cell r="G88">
            <v>70.77</v>
          </cell>
          <cell r="H88">
            <v>-2.76</v>
          </cell>
          <cell r="I88">
            <v>68.01</v>
          </cell>
          <cell r="J88" t="e">
            <v>#REF!</v>
          </cell>
        </row>
        <row r="89">
          <cell r="B89" t="str">
            <v>0936</v>
          </cell>
          <cell r="C89" t="str">
            <v>Work Training Program</v>
          </cell>
          <cell r="D89" t="str">
            <v>Youth Employment</v>
          </cell>
          <cell r="E89">
            <v>28.08</v>
          </cell>
          <cell r="F89">
            <v>0</v>
          </cell>
          <cell r="G89">
            <v>28.08</v>
          </cell>
          <cell r="H89">
            <v>0</v>
          </cell>
          <cell r="I89">
            <v>28.08</v>
          </cell>
          <cell r="J89" t="e">
            <v>#REF!</v>
          </cell>
        </row>
        <row r="90">
          <cell r="B90" t="str">
            <v>0356</v>
          </cell>
          <cell r="C90" t="str">
            <v>Federal Housing and Community Development</v>
          </cell>
          <cell r="D90" t="str">
            <v>Federal Housing &amp; Community Development.</v>
          </cell>
          <cell r="E90">
            <v>28.92</v>
          </cell>
          <cell r="F90">
            <v>-0.67</v>
          </cell>
          <cell r="G90">
            <v>28.25</v>
          </cell>
          <cell r="H90">
            <v>0.5</v>
          </cell>
          <cell r="I90">
            <v>28.75</v>
          </cell>
          <cell r="J90" t="e">
            <v>#REF!</v>
          </cell>
        </row>
        <row r="91">
          <cell r="B91" t="str">
            <v>0351</v>
          </cell>
          <cell r="C91" t="str">
            <v>Housing Opportunity</v>
          </cell>
          <cell r="D91" t="str">
            <v>Housing Opportunity Fund</v>
          </cell>
          <cell r="E91">
            <v>3.5</v>
          </cell>
          <cell r="F91">
            <v>0</v>
          </cell>
          <cell r="G91">
            <v>3.5</v>
          </cell>
          <cell r="H91">
            <v>1</v>
          </cell>
          <cell r="I91">
            <v>4.5</v>
          </cell>
          <cell r="J91" t="e">
            <v>#REF!</v>
          </cell>
        </row>
        <row r="92">
          <cell r="J92" t="e">
            <v>#REF!</v>
          </cell>
        </row>
        <row r="93">
          <cell r="B93" t="str">
            <v>0381</v>
          </cell>
          <cell r="C93" t="str">
            <v>Solid Waste</v>
          </cell>
          <cell r="D93" t="str">
            <v>Natural Resources Administration</v>
          </cell>
          <cell r="E93">
            <v>27.1</v>
          </cell>
          <cell r="F93">
            <v>0.5</v>
          </cell>
          <cell r="G93">
            <v>27.6</v>
          </cell>
          <cell r="H93">
            <v>9.5</v>
          </cell>
          <cell r="I93">
            <v>37.1</v>
          </cell>
          <cell r="J93" t="e">
            <v>#REF!</v>
          </cell>
        </row>
        <row r="94">
          <cell r="B94" t="str">
            <v>0706</v>
          </cell>
          <cell r="C94" t="str">
            <v>Solid Waste</v>
          </cell>
          <cell r="D94" t="str">
            <v>Solid Waste Marketing Commission</v>
          </cell>
          <cell r="E94">
            <v>9</v>
          </cell>
          <cell r="F94">
            <v>0</v>
          </cell>
          <cell r="G94">
            <v>9</v>
          </cell>
          <cell r="H94">
            <v>0</v>
          </cell>
          <cell r="I94">
            <v>9</v>
          </cell>
          <cell r="J94" t="e">
            <v>#REF!</v>
          </cell>
        </row>
        <row r="95">
          <cell r="B95" t="str">
            <v>0720</v>
          </cell>
          <cell r="C95" t="str">
            <v>Solid Waste</v>
          </cell>
          <cell r="D95" t="str">
            <v>Solid Waste</v>
          </cell>
          <cell r="E95">
            <v>386.17</v>
          </cell>
          <cell r="F95">
            <v>0</v>
          </cell>
          <cell r="G95">
            <v>386.17</v>
          </cell>
          <cell r="H95">
            <v>17.8</v>
          </cell>
          <cell r="I95">
            <v>403.97</v>
          </cell>
          <cell r="J95" t="e">
            <v>#REF!</v>
          </cell>
        </row>
        <row r="96">
          <cell r="B96" t="str">
            <v>0710</v>
          </cell>
          <cell r="C96" t="str">
            <v>Airport</v>
          </cell>
          <cell r="D96" t="str">
            <v>Airport</v>
          </cell>
          <cell r="E96">
            <v>44.5</v>
          </cell>
          <cell r="F96">
            <v>0</v>
          </cell>
          <cell r="G96">
            <v>44.5</v>
          </cell>
          <cell r="H96">
            <v>2</v>
          </cell>
          <cell r="I96">
            <v>46.5</v>
          </cell>
          <cell r="J96" t="e">
            <v>#REF!</v>
          </cell>
        </row>
        <row r="97">
          <cell r="B97" t="str">
            <v>0716</v>
          </cell>
          <cell r="C97" t="str">
            <v>Airport</v>
          </cell>
          <cell r="D97" t="str">
            <v>Airport Construction Transfer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#REF!</v>
          </cell>
        </row>
        <row r="98">
          <cell r="B98" t="str">
            <v>0290</v>
          </cell>
          <cell r="C98" t="str">
            <v>Stadium</v>
          </cell>
          <cell r="D98" t="str">
            <v>Stadium Operations</v>
          </cell>
          <cell r="E98">
            <v>64</v>
          </cell>
          <cell r="F98">
            <v>-64</v>
          </cell>
          <cell r="G98">
            <v>0</v>
          </cell>
          <cell r="H98">
            <v>7.06</v>
          </cell>
          <cell r="I98">
            <v>7.06</v>
          </cell>
          <cell r="J98" t="e">
            <v>#REF!</v>
          </cell>
        </row>
        <row r="99">
          <cell r="B99" t="str">
            <v>0213</v>
          </cell>
          <cell r="C99" t="str">
            <v>Radio Communications Operations</v>
          </cell>
          <cell r="D99" t="str">
            <v>Radio Communication Services (800 MHz)</v>
          </cell>
          <cell r="E99">
            <v>18</v>
          </cell>
          <cell r="F99">
            <v>0</v>
          </cell>
          <cell r="G99">
            <v>18</v>
          </cell>
          <cell r="H99">
            <v>2</v>
          </cell>
          <cell r="I99">
            <v>20</v>
          </cell>
          <cell r="J99" t="e">
            <v>#REF!</v>
          </cell>
        </row>
        <row r="100">
          <cell r="B100" t="str">
            <v>4000M</v>
          </cell>
          <cell r="C100" t="str">
            <v>Water Quality</v>
          </cell>
          <cell r="D100" t="str">
            <v>Waste Water Treatment</v>
          </cell>
          <cell r="E100">
            <v>573.78</v>
          </cell>
          <cell r="F100">
            <v>10.9</v>
          </cell>
          <cell r="G100">
            <v>584.68</v>
          </cell>
          <cell r="H100">
            <v>6.12</v>
          </cell>
          <cell r="I100">
            <v>590.8</v>
          </cell>
          <cell r="J100" t="e">
            <v>#REF!</v>
          </cell>
        </row>
        <row r="101">
          <cell r="B101" t="str">
            <v>4999M</v>
          </cell>
          <cell r="C101" t="str">
            <v>Water Quality</v>
          </cell>
          <cell r="D101" t="str">
            <v>Waste Water Treatment Debt Service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#REF!</v>
          </cell>
        </row>
        <row r="102">
          <cell r="B102" t="str">
            <v>4616M</v>
          </cell>
          <cell r="C102" t="str">
            <v>Public Transportation</v>
          </cell>
          <cell r="D102" t="str">
            <v>Water Quality--CIP Transfers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#REF!</v>
          </cell>
        </row>
        <row r="103">
          <cell r="B103" t="str">
            <v>5000M</v>
          </cell>
          <cell r="C103" t="str">
            <v>Public Transportation</v>
          </cell>
          <cell r="D103" t="str">
            <v>Transit</v>
          </cell>
          <cell r="E103">
            <v>3576.48</v>
          </cell>
          <cell r="F103">
            <v>44.69</v>
          </cell>
          <cell r="G103">
            <v>3621.17</v>
          </cell>
          <cell r="H103">
            <v>59.86</v>
          </cell>
          <cell r="I103">
            <v>3681.03</v>
          </cell>
          <cell r="J103" t="e">
            <v>#REF!</v>
          </cell>
        </row>
        <row r="104">
          <cell r="B104" t="str">
            <v>5001M</v>
          </cell>
          <cell r="C104" t="str">
            <v>Public Transportation</v>
          </cell>
          <cell r="D104" t="str">
            <v>Public Transportation CIP Transfer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#REF!</v>
          </cell>
        </row>
        <row r="105">
          <cell r="B105" t="str">
            <v>5002M</v>
          </cell>
          <cell r="C105" t="str">
            <v>Transit Revenue Vehicle Replacement</v>
          </cell>
          <cell r="D105" t="str">
            <v>Transit Revenue Vehicle Replacement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#REF!</v>
          </cell>
        </row>
        <row r="106">
          <cell r="B106" t="str">
            <v>5010M</v>
          </cell>
          <cell r="C106" t="str">
            <v>Public Transportation</v>
          </cell>
          <cell r="D106" t="str">
            <v>Community and Administrative Services</v>
          </cell>
          <cell r="E106">
            <v>31.65</v>
          </cell>
          <cell r="F106">
            <v>0</v>
          </cell>
          <cell r="G106">
            <v>31.65</v>
          </cell>
          <cell r="H106">
            <v>0</v>
          </cell>
          <cell r="I106">
            <v>31.65</v>
          </cell>
          <cell r="J106" t="e">
            <v>#REF!</v>
          </cell>
        </row>
        <row r="107">
          <cell r="B107" t="str">
            <v>5610M</v>
          </cell>
          <cell r="C107" t="str">
            <v>Public Transportation</v>
          </cell>
          <cell r="D107" t="str">
            <v>Transportation Planning</v>
          </cell>
          <cell r="E107">
            <v>56.3</v>
          </cell>
          <cell r="F107">
            <v>0</v>
          </cell>
          <cell r="G107">
            <v>56.3</v>
          </cell>
          <cell r="H107">
            <v>0</v>
          </cell>
          <cell r="I107">
            <v>56.3</v>
          </cell>
          <cell r="J107" t="e">
            <v>#REF!</v>
          </cell>
        </row>
        <row r="108">
          <cell r="B108" t="str">
            <v>0666</v>
          </cell>
          <cell r="C108" t="str">
            <v>Safety &amp; Workers Compensation</v>
          </cell>
          <cell r="D108" t="str">
            <v>Safety &amp; Claims Management</v>
          </cell>
          <cell r="E108">
            <v>24.5</v>
          </cell>
          <cell r="F108">
            <v>0</v>
          </cell>
          <cell r="G108">
            <v>24.5</v>
          </cell>
          <cell r="H108">
            <v>3.5</v>
          </cell>
          <cell r="I108">
            <v>28</v>
          </cell>
          <cell r="J108" t="e">
            <v>#REF!</v>
          </cell>
        </row>
        <row r="109">
          <cell r="B109" t="str">
            <v>0136</v>
          </cell>
          <cell r="C109" t="str">
            <v>Transit Non-Revenue Vehicle</v>
          </cell>
          <cell r="D109" t="str">
            <v>Transit Non-Revenue Vehicle Rental &amp; Revolving</v>
          </cell>
          <cell r="E109">
            <v>0</v>
          </cell>
          <cell r="F109">
            <v>8</v>
          </cell>
          <cell r="G109">
            <v>8</v>
          </cell>
          <cell r="H109">
            <v>0</v>
          </cell>
          <cell r="I109">
            <v>8</v>
          </cell>
          <cell r="J109" t="e">
            <v>#REF!</v>
          </cell>
        </row>
        <row r="110">
          <cell r="B110" t="str">
            <v>0137</v>
          </cell>
          <cell r="C110" t="str">
            <v>Water Pollution Control Equipment</v>
          </cell>
          <cell r="D110" t="str">
            <v>Wastewater Equipment Rental &amp; Revolving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#REF!</v>
          </cell>
        </row>
        <row r="111">
          <cell r="B111" t="str">
            <v>0130</v>
          </cell>
          <cell r="C111" t="str">
            <v>Financial Services</v>
          </cell>
          <cell r="D111" t="str">
            <v>Finance--Internal Service Fund</v>
          </cell>
          <cell r="E111">
            <v>209</v>
          </cell>
          <cell r="F111">
            <v>0</v>
          </cell>
          <cell r="G111">
            <v>209</v>
          </cell>
          <cell r="H111">
            <v>5</v>
          </cell>
          <cell r="I111">
            <v>214</v>
          </cell>
          <cell r="J111" t="e">
            <v>#REF!</v>
          </cell>
        </row>
        <row r="112">
          <cell r="B112" t="str">
            <v>0429</v>
          </cell>
          <cell r="C112" t="str">
            <v>Employee Benefits</v>
          </cell>
          <cell r="D112" t="str">
            <v>Employee Benefits</v>
          </cell>
          <cell r="E112">
            <v>20</v>
          </cell>
          <cell r="F112">
            <v>0</v>
          </cell>
          <cell r="G112">
            <v>20</v>
          </cell>
          <cell r="H112">
            <v>2</v>
          </cell>
          <cell r="I112">
            <v>22</v>
          </cell>
          <cell r="J112" t="e">
            <v>#REF!</v>
          </cell>
        </row>
        <row r="113">
          <cell r="B113" t="str">
            <v>0601</v>
          </cell>
          <cell r="C113" t="str">
            <v>DCFM - Internal Service</v>
          </cell>
          <cell r="D113" t="str">
            <v>DCFM--Internal Service Fund</v>
          </cell>
          <cell r="E113">
            <v>284</v>
          </cell>
          <cell r="F113">
            <v>0</v>
          </cell>
          <cell r="G113">
            <v>284</v>
          </cell>
          <cell r="H113">
            <v>2.75</v>
          </cell>
          <cell r="I113">
            <v>286.75</v>
          </cell>
          <cell r="J113" t="e">
            <v>#REF!</v>
          </cell>
        </row>
        <row r="114">
          <cell r="B114" t="str">
            <v>0154</v>
          </cell>
          <cell r="C114" t="str">
            <v>Insurance</v>
          </cell>
          <cell r="D114" t="str">
            <v>Risk Management</v>
          </cell>
          <cell r="E114">
            <v>17</v>
          </cell>
          <cell r="F114">
            <v>0</v>
          </cell>
          <cell r="G114">
            <v>17</v>
          </cell>
          <cell r="H114">
            <v>1</v>
          </cell>
          <cell r="I114">
            <v>18</v>
          </cell>
          <cell r="J114" t="e">
            <v>#REF!</v>
          </cell>
        </row>
        <row r="115">
          <cell r="B115" t="str">
            <v>0432</v>
          </cell>
          <cell r="C115" t="str">
            <v>Information &amp; Telecommunication - Data  Processing</v>
          </cell>
          <cell r="D115" t="str">
            <v>ITS--Technology Services</v>
          </cell>
          <cell r="E115">
            <v>152</v>
          </cell>
          <cell r="F115">
            <v>0</v>
          </cell>
          <cell r="G115">
            <v>152</v>
          </cell>
          <cell r="H115">
            <v>13</v>
          </cell>
          <cell r="I115">
            <v>165</v>
          </cell>
          <cell r="J115" t="e">
            <v>#REF!</v>
          </cell>
        </row>
        <row r="116">
          <cell r="B116" t="str">
            <v>0433</v>
          </cell>
          <cell r="C116" t="str">
            <v>Information &amp; Telecommunication - Telecommunication</v>
          </cell>
          <cell r="D116" t="str">
            <v>ITS--Telecommunications</v>
          </cell>
          <cell r="E116">
            <v>8</v>
          </cell>
          <cell r="F116">
            <v>0</v>
          </cell>
          <cell r="G116">
            <v>8</v>
          </cell>
          <cell r="H116">
            <v>0</v>
          </cell>
          <cell r="I116">
            <v>8</v>
          </cell>
          <cell r="J116" t="e">
            <v>#REF!</v>
          </cell>
        </row>
        <row r="117">
          <cell r="B117" t="str">
            <v>0750</v>
          </cell>
          <cell r="C117" t="str">
            <v>Equipment Rental &amp; Replacement</v>
          </cell>
          <cell r="D117" t="str">
            <v>Equipment Repair &amp; Replacement (ER&amp;R)</v>
          </cell>
          <cell r="E117">
            <v>43.5</v>
          </cell>
          <cell r="F117">
            <v>0</v>
          </cell>
          <cell r="G117">
            <v>43.5</v>
          </cell>
          <cell r="H117">
            <v>3.5</v>
          </cell>
          <cell r="I117">
            <v>47</v>
          </cell>
          <cell r="J117" t="e">
            <v>#REF!</v>
          </cell>
        </row>
        <row r="118">
          <cell r="B118" t="str">
            <v>0780</v>
          </cell>
          <cell r="C118" t="str">
            <v>Motor Pool</v>
          </cell>
          <cell r="D118" t="str">
            <v>Motor Pool</v>
          </cell>
          <cell r="E118">
            <v>30</v>
          </cell>
          <cell r="F118">
            <v>-8</v>
          </cell>
          <cell r="G118">
            <v>22</v>
          </cell>
          <cell r="H118">
            <v>0</v>
          </cell>
          <cell r="I118">
            <v>22</v>
          </cell>
          <cell r="J118" t="e">
            <v>#REF!</v>
          </cell>
        </row>
        <row r="119">
          <cell r="B119" t="str">
            <v>0415</v>
          </cell>
          <cell r="C119" t="str">
            <v>Printing and Graphic Arts Services</v>
          </cell>
          <cell r="D119" t="str">
            <v>ITS-Printing &amp; Graphic Arts</v>
          </cell>
          <cell r="E119">
            <v>17.5</v>
          </cell>
          <cell r="F119">
            <v>-0</v>
          </cell>
          <cell r="G119">
            <v>17.5</v>
          </cell>
          <cell r="H119">
            <v>6</v>
          </cell>
          <cell r="I119">
            <v>23.5</v>
          </cell>
          <cell r="J119" t="e">
            <v>#REF!</v>
          </cell>
        </row>
        <row r="120">
          <cell r="B120" t="str">
            <v>0465</v>
          </cell>
          <cell r="C120" t="str">
            <v>Limited GO Bond Redemption</v>
          </cell>
          <cell r="D120" t="str">
            <v>Limited G. O. Bond Redemption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#REF!</v>
          </cell>
        </row>
        <row r="121">
          <cell r="B121" t="str">
            <v>0466</v>
          </cell>
          <cell r="C121" t="str">
            <v>Unlimited GO Bond Redemption</v>
          </cell>
          <cell r="D121" t="str">
            <v>Unlimited G. O. Bond Redemption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#REF!</v>
          </cell>
        </row>
        <row r="122">
          <cell r="B122" t="str">
            <v>0467</v>
          </cell>
          <cell r="C122" t="str">
            <v>Stadium GO Bond Redemption</v>
          </cell>
          <cell r="D122" t="str">
            <v>Stadium G. O. Bond Redemption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#REF!</v>
          </cell>
        </row>
        <row r="123">
          <cell r="B123" t="str">
            <v>3000</v>
          </cell>
          <cell r="C123" t="str">
            <v>Capital Improvement Program</v>
          </cell>
          <cell r="D123" t="str">
            <v>Capital Improvement Program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#REF!</v>
          </cell>
        </row>
        <row r="124">
          <cell r="B124" t="str">
            <v>3001</v>
          </cell>
          <cell r="C124" t="str">
            <v>Capital Improvement Program</v>
          </cell>
          <cell r="D124" t="str">
            <v>Roads Capital Improvement Program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#REF!</v>
          </cell>
        </row>
        <row r="125">
          <cell r="B125" t="str">
            <v>3002</v>
          </cell>
          <cell r="C125" t="str">
            <v>Capital Improvement Program</v>
          </cell>
          <cell r="D125" t="str">
            <v>Capital Improvement Program Cancellations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#REF!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9.140625" defaultRowHeight="12.75"/>
  <cols>
    <col min="1" max="1" width="60.00390625" style="0" bestFit="1" customWidth="1"/>
    <col min="2" max="2" width="15.28125" style="0" customWidth="1"/>
    <col min="3" max="3" width="3.28125" style="1" bestFit="1" customWidth="1"/>
    <col min="4" max="4" width="15.28125" style="2" customWidth="1"/>
    <col min="5" max="5" width="2.7109375" style="1" bestFit="1" customWidth="1"/>
    <col min="6" max="6" width="15.28125" style="3" customWidth="1"/>
    <col min="7" max="7" width="3.28125" style="4" customWidth="1"/>
    <col min="8" max="8" width="15.28125" style="2" bestFit="1" customWidth="1"/>
    <col min="9" max="9" width="2.57421875" style="1" customWidth="1"/>
    <col min="10" max="10" width="15.28125" style="2" bestFit="1" customWidth="1"/>
    <col min="11" max="11" width="2.57421875" style="1" customWidth="1"/>
    <col min="12" max="12" width="15.28125" style="2" bestFit="1" customWidth="1"/>
    <col min="13" max="13" width="2.57421875" style="1" customWidth="1"/>
    <col min="14" max="14" width="15.28125" style="0" bestFit="1" customWidth="1"/>
    <col min="15" max="15" width="2.57421875" style="1" customWidth="1"/>
    <col min="16" max="16" width="15.28125" style="0" customWidth="1"/>
    <col min="17" max="17" width="2.57421875" style="5" customWidth="1"/>
    <col min="18" max="18" width="15.28125" style="0" bestFit="1" customWidth="1"/>
    <col min="19" max="19" width="2.57421875" style="5" customWidth="1"/>
    <col min="20" max="20" width="15.28125" style="6" bestFit="1" customWidth="1"/>
    <col min="21" max="21" width="2.57421875" style="1" customWidth="1"/>
    <col min="255" max="16384" width="8.8515625" style="6" customWidth="1"/>
  </cols>
  <sheetData>
    <row r="1" ht="17.25">
      <c r="A1" t="s">
        <v>0</v>
      </c>
    </row>
    <row r="2" spans="1:256" s="7" customFormat="1" ht="17.25">
      <c r="A2" t="s">
        <v>1</v>
      </c>
      <c r="B2"/>
      <c r="C2" s="1"/>
      <c r="D2" s="2"/>
      <c r="E2" s="1"/>
      <c r="F2" s="3"/>
      <c r="G2" s="4"/>
      <c r="H2" s="2"/>
      <c r="I2" s="1"/>
      <c r="J2" s="2"/>
      <c r="K2" s="1"/>
      <c r="L2" s="2"/>
      <c r="M2" s="1"/>
      <c r="N2"/>
      <c r="O2" s="1"/>
      <c r="P2"/>
      <c r="Q2" s="5"/>
      <c r="R2"/>
      <c r="S2" s="5"/>
      <c r="T2" s="6"/>
      <c r="U2" s="1"/>
      <c r="IU2" s="8"/>
      <c r="IV2" s="8"/>
    </row>
    <row r="3" spans="1:256" s="7" customFormat="1" ht="17.25">
      <c r="A3" s="9" t="s">
        <v>2</v>
      </c>
      <c r="B3" s="10" t="s">
        <v>3</v>
      </c>
      <c r="C3" s="11"/>
      <c r="D3" s="12" t="s">
        <v>4</v>
      </c>
      <c r="E3" s="11"/>
      <c r="F3" s="13" t="s">
        <v>5</v>
      </c>
      <c r="G3" s="14"/>
      <c r="H3" s="12" t="s">
        <v>6</v>
      </c>
      <c r="I3" s="11"/>
      <c r="J3" s="12" t="s">
        <v>7</v>
      </c>
      <c r="K3" s="11"/>
      <c r="L3" s="12" t="s">
        <v>8</v>
      </c>
      <c r="M3" s="11"/>
      <c r="N3" s="15" t="s">
        <v>9</v>
      </c>
      <c r="O3" s="11"/>
      <c r="P3" s="10" t="s">
        <v>10</v>
      </c>
      <c r="Q3" s="11"/>
      <c r="R3" s="10" t="s">
        <v>11</v>
      </c>
      <c r="S3" s="11"/>
      <c r="T3" s="10" t="s">
        <v>12</v>
      </c>
      <c r="U3" s="16"/>
      <c r="IU3" s="8"/>
      <c r="IV3" s="8"/>
    </row>
    <row r="4" spans="1:256" s="7" customFormat="1" ht="17.25">
      <c r="A4" s="17" t="s">
        <v>13</v>
      </c>
      <c r="B4" s="18">
        <v>6582271</v>
      </c>
      <c r="C4" s="19"/>
      <c r="D4" s="20">
        <f>+B52</f>
        <v>6665456.210000001</v>
      </c>
      <c r="E4" s="19"/>
      <c r="F4" s="20">
        <f>+D52</f>
        <v>9931793.21</v>
      </c>
      <c r="G4" s="21"/>
      <c r="H4" s="20">
        <f>F52</f>
        <v>13490860.21</v>
      </c>
      <c r="I4" s="19"/>
      <c r="J4" s="20">
        <f>H52</f>
        <v>10263284.59</v>
      </c>
      <c r="K4" s="19"/>
      <c r="L4" s="20">
        <f>H52</f>
        <v>10263284.59</v>
      </c>
      <c r="M4" s="19"/>
      <c r="N4" s="22">
        <f>L52</f>
        <v>0</v>
      </c>
      <c r="O4" s="19"/>
      <c r="P4" s="23">
        <f>N52</f>
        <v>463374.5996693317</v>
      </c>
      <c r="Q4" s="24"/>
      <c r="R4" s="23">
        <f>P52</f>
        <v>1077125.8165942086</v>
      </c>
      <c r="S4" s="24"/>
      <c r="T4" s="23">
        <f>R52</f>
        <v>1771921.5299060307</v>
      </c>
      <c r="U4" s="25"/>
      <c r="IU4" s="8"/>
      <c r="IV4" s="8"/>
    </row>
    <row r="5" spans="1:256" s="33" customFormat="1" ht="17.25">
      <c r="A5" s="26" t="s">
        <v>14</v>
      </c>
      <c r="B5" s="27"/>
      <c r="C5" s="28"/>
      <c r="D5" s="29"/>
      <c r="E5" s="28"/>
      <c r="F5" s="29"/>
      <c r="G5" s="30"/>
      <c r="H5" s="29"/>
      <c r="I5" s="28"/>
      <c r="J5" s="29"/>
      <c r="K5" s="28"/>
      <c r="L5" s="29"/>
      <c r="M5" s="28"/>
      <c r="N5" s="31"/>
      <c r="O5" s="28"/>
      <c r="P5" s="27"/>
      <c r="Q5" s="28"/>
      <c r="R5" s="27"/>
      <c r="S5" s="28"/>
      <c r="T5" s="27"/>
      <c r="U5" s="32"/>
      <c r="IU5" s="34"/>
      <c r="IV5" s="34"/>
    </row>
    <row r="6" spans="1:21" ht="17.25">
      <c r="A6" s="26" t="s">
        <v>15</v>
      </c>
      <c r="B6" s="35"/>
      <c r="C6" s="28"/>
      <c r="D6" s="36">
        <f>(D7-B7)/B7</f>
        <v>-0.041931768191500775</v>
      </c>
      <c r="E6" s="28"/>
      <c r="F6" s="37">
        <f>(F7-D7)/D7</f>
        <v>0.3097555353135218</v>
      </c>
      <c r="G6" s="30"/>
      <c r="H6" s="36">
        <f>(H7-F7)/F7</f>
        <v>0.12047795833190846</v>
      </c>
      <c r="I6" s="28"/>
      <c r="J6" s="36">
        <f>(J7-H7)/H7</f>
        <v>-0.04299177643700993</v>
      </c>
      <c r="K6" s="28"/>
      <c r="L6" s="36">
        <f>(L7-H7)/H7</f>
        <v>-0.04071886858417795</v>
      </c>
      <c r="M6" s="28"/>
      <c r="N6" s="38">
        <f>(N7-L7)/L7</f>
        <v>0.021293150479487183</v>
      </c>
      <c r="O6" s="28"/>
      <c r="P6" s="36">
        <f>(P7-N7)/N7</f>
        <v>0.021000000000000078</v>
      </c>
      <c r="Q6" s="28"/>
      <c r="R6" s="36">
        <f>(R7-P7)/P7</f>
        <v>0.020999999999999863</v>
      </c>
      <c r="S6" s="28"/>
      <c r="T6" s="36">
        <f>(T7-R7)/R7</f>
        <v>0.020999999999999932</v>
      </c>
      <c r="U6" s="32"/>
    </row>
    <row r="7" spans="1:21" ht="17.25">
      <c r="A7" s="39" t="s">
        <v>16</v>
      </c>
      <c r="B7" s="27">
        <f>1917841+7331654.71</f>
        <v>9249495.71</v>
      </c>
      <c r="C7" s="28"/>
      <c r="D7" s="29">
        <f>6282797+3984390-1405539</f>
        <v>8861648</v>
      </c>
      <c r="E7" s="28"/>
      <c r="F7" s="29">
        <f>6408090.39+80709.96+5009713.87+108078.3</f>
        <v>11606592.52</v>
      </c>
      <c r="G7" s="30" t="s">
        <v>17</v>
      </c>
      <c r="H7" s="29">
        <f>(7164550.49+118374.45)+(5610915.72+111090.43)</f>
        <v>13004931.09</v>
      </c>
      <c r="I7" s="30" t="s">
        <v>18</v>
      </c>
      <c r="J7" s="29">
        <v>12445826</v>
      </c>
      <c r="K7" s="30" t="s">
        <v>19</v>
      </c>
      <c r="L7" s="40">
        <f>12601399*0.99</f>
        <v>12475385.01</v>
      </c>
      <c r="M7" s="30" t="s">
        <v>20</v>
      </c>
      <c r="N7" s="31">
        <f>(((11698812*1.0373)*1.0277)*1.03194532)*0.99</f>
        <v>12741025.260307468</v>
      </c>
      <c r="O7" s="30" t="s">
        <v>21</v>
      </c>
      <c r="P7" s="29">
        <f>(N7/0.99)*1.021*0.99</f>
        <v>13008586.790773926</v>
      </c>
      <c r="Q7" s="28"/>
      <c r="R7" s="29">
        <f>(P7/0.99)*1.021*0.99</f>
        <v>13281767.113380177</v>
      </c>
      <c r="S7" s="28"/>
      <c r="T7" s="29">
        <f>(R7/0.99)*1.021*0.99</f>
        <v>13560684.22276116</v>
      </c>
      <c r="U7" s="32"/>
    </row>
    <row r="8" spans="1:21" ht="17.25">
      <c r="A8" s="41" t="s">
        <v>22</v>
      </c>
      <c r="B8" s="42"/>
      <c r="C8" s="28"/>
      <c r="D8" s="40"/>
      <c r="E8" s="28"/>
      <c r="F8" s="40"/>
      <c r="G8" s="30"/>
      <c r="H8" s="40"/>
      <c r="I8" s="28"/>
      <c r="J8" s="40"/>
      <c r="K8" s="28"/>
      <c r="L8" s="40"/>
      <c r="M8" s="28"/>
      <c r="N8" s="43"/>
      <c r="O8" s="28"/>
      <c r="P8" s="42"/>
      <c r="Q8" s="28"/>
      <c r="R8" s="42"/>
      <c r="S8" s="28"/>
      <c r="T8" s="42"/>
      <c r="U8" s="32"/>
    </row>
    <row r="9" spans="1:21" ht="17.25">
      <c r="A9" s="41" t="s">
        <v>23</v>
      </c>
      <c r="B9" s="42">
        <v>-567658</v>
      </c>
      <c r="C9" s="28"/>
      <c r="D9" s="40"/>
      <c r="E9" s="28"/>
      <c r="F9" s="40"/>
      <c r="G9" s="30"/>
      <c r="H9" s="40"/>
      <c r="I9" s="28"/>
      <c r="J9" s="40"/>
      <c r="K9" s="28"/>
      <c r="L9" s="40"/>
      <c r="M9" s="28"/>
      <c r="N9" s="43"/>
      <c r="O9" s="28"/>
      <c r="P9" s="42"/>
      <c r="Q9" s="28"/>
      <c r="R9" s="42"/>
      <c r="S9" s="28"/>
      <c r="T9" s="42"/>
      <c r="U9" s="32"/>
    </row>
    <row r="10" spans="1:21" ht="17.25">
      <c r="A10" s="41" t="s">
        <v>24</v>
      </c>
      <c r="B10" s="42">
        <v>-4126924</v>
      </c>
      <c r="C10" s="28"/>
      <c r="D10" s="40">
        <v>-3965662</v>
      </c>
      <c r="E10" s="28"/>
      <c r="F10" s="40">
        <v>-3964064</v>
      </c>
      <c r="G10" s="30"/>
      <c r="H10" s="40">
        <v>-3963322</v>
      </c>
      <c r="I10" s="28"/>
      <c r="J10" s="40">
        <v>-3964114</v>
      </c>
      <c r="K10" s="28"/>
      <c r="L10" s="40">
        <v>-3964114</v>
      </c>
      <c r="M10" s="28"/>
      <c r="N10" s="43">
        <v>-3965392</v>
      </c>
      <c r="O10" s="28"/>
      <c r="P10" s="42">
        <v>-3962510</v>
      </c>
      <c r="Q10" s="28"/>
      <c r="R10" s="42">
        <v>-3964907</v>
      </c>
      <c r="S10" s="28"/>
      <c r="T10" s="42">
        <v>-3964907</v>
      </c>
      <c r="U10" s="32"/>
    </row>
    <row r="11" spans="1:21" ht="17.25">
      <c r="A11" s="41" t="s">
        <v>25</v>
      </c>
      <c r="B11" s="42">
        <v>-1231532.5</v>
      </c>
      <c r="C11" s="28"/>
      <c r="D11" s="40">
        <f>-270650-1067310</f>
        <v>-1337960</v>
      </c>
      <c r="E11" s="28"/>
      <c r="F11" s="40">
        <v>-1168450</v>
      </c>
      <c r="G11" s="30"/>
      <c r="H11" s="40">
        <v>-1165250</v>
      </c>
      <c r="I11" s="28"/>
      <c r="J11" s="40">
        <v>-1170650</v>
      </c>
      <c r="K11" s="28"/>
      <c r="L11" s="40">
        <v>-1170650</v>
      </c>
      <c r="M11" s="28"/>
      <c r="N11" s="43">
        <v>-1179250</v>
      </c>
      <c r="O11" s="28"/>
      <c r="P11" s="42">
        <v>-1180850</v>
      </c>
      <c r="Q11" s="28"/>
      <c r="R11" s="42"/>
      <c r="S11" s="28"/>
      <c r="T11" s="42"/>
      <c r="U11" s="32"/>
    </row>
    <row r="12" spans="1:21" ht="18">
      <c r="A12" s="41" t="s">
        <v>26</v>
      </c>
      <c r="B12" s="42"/>
      <c r="C12" s="28"/>
      <c r="D12" s="40"/>
      <c r="E12" s="28"/>
      <c r="F12" s="40"/>
      <c r="G12" s="30"/>
      <c r="H12" s="40"/>
      <c r="I12" s="28"/>
      <c r="J12" s="40"/>
      <c r="K12" s="28"/>
      <c r="L12" s="40">
        <v>-138924</v>
      </c>
      <c r="M12" s="28"/>
      <c r="N12" s="31">
        <f>'[1]treemont ds'!A9</f>
        <v>-531964.6606381364</v>
      </c>
      <c r="O12" s="28"/>
      <c r="P12" s="27">
        <f>'[1]treemont ds'!A9</f>
        <v>-531964.6606381364</v>
      </c>
      <c r="Q12" s="44"/>
      <c r="R12" s="27">
        <f>'[1]treemont ds'!A9</f>
        <v>-531964.6606381364</v>
      </c>
      <c r="S12" s="44"/>
      <c r="T12" s="27">
        <f>'[1]treemont ds'!A9</f>
        <v>-531964.6606381364</v>
      </c>
      <c r="U12" s="32"/>
    </row>
    <row r="13" spans="1:21" ht="17.25">
      <c r="A13" s="41" t="s">
        <v>27</v>
      </c>
      <c r="B13" s="42"/>
      <c r="C13" s="28"/>
      <c r="D13" s="40"/>
      <c r="E13" s="28"/>
      <c r="F13" s="40"/>
      <c r="G13" s="30"/>
      <c r="H13" s="40"/>
      <c r="I13" s="28"/>
      <c r="J13" s="40"/>
      <c r="K13" s="28"/>
      <c r="L13" s="40"/>
      <c r="M13" s="28"/>
      <c r="N13" s="43"/>
      <c r="O13" s="28"/>
      <c r="P13" s="42"/>
      <c r="Q13" s="28"/>
      <c r="R13" s="42">
        <f>'[1]jw_ltgo_ds'!E9+'[1]jw_ltgo_ds'!F9+'[1]jw_ltgo_ds'!E10+'[1]jw_ltgo_ds'!F10</f>
        <v>-87639.91644387861</v>
      </c>
      <c r="S13" s="28"/>
      <c r="T13" s="42">
        <f>'[1]jw_appropriation'!A15</f>
        <v>-533056.0259328096</v>
      </c>
      <c r="U13" s="32"/>
    </row>
    <row r="14" spans="1:21" ht="17.25">
      <c r="A14" s="41" t="s">
        <v>28</v>
      </c>
      <c r="B14" s="42"/>
      <c r="C14" s="28"/>
      <c r="D14" s="40"/>
      <c r="E14" s="28"/>
      <c r="F14" s="40"/>
      <c r="G14" s="30"/>
      <c r="H14" s="40"/>
      <c r="I14" s="28"/>
      <c r="J14" s="40"/>
      <c r="K14" s="28"/>
      <c r="L14" s="40"/>
      <c r="M14" s="28"/>
      <c r="N14" s="43"/>
      <c r="O14" s="28"/>
      <c r="P14" s="42"/>
      <c r="Q14" s="28"/>
      <c r="R14" s="42"/>
      <c r="S14" s="28"/>
      <c r="T14" s="42">
        <v>-163905</v>
      </c>
      <c r="U14" s="32"/>
    </row>
    <row r="15" spans="1:21" ht="17.25">
      <c r="A15" s="41" t="s">
        <v>29</v>
      </c>
      <c r="B15" s="42"/>
      <c r="C15" s="28"/>
      <c r="D15" s="40"/>
      <c r="E15" s="28"/>
      <c r="F15" s="40"/>
      <c r="G15" s="30"/>
      <c r="H15" s="40"/>
      <c r="I15" s="28"/>
      <c r="J15" s="40"/>
      <c r="K15" s="28"/>
      <c r="L15" s="40"/>
      <c r="M15" s="28"/>
      <c r="N15" s="43"/>
      <c r="O15" s="28"/>
      <c r="P15" s="42"/>
      <c r="Q15" s="28"/>
      <c r="R15" s="42"/>
      <c r="S15" s="28"/>
      <c r="T15" s="42">
        <v>-81952</v>
      </c>
      <c r="U15" s="32"/>
    </row>
    <row r="16" spans="1:21" ht="18">
      <c r="A16" s="41" t="s">
        <v>30</v>
      </c>
      <c r="B16" s="42"/>
      <c r="C16" s="28"/>
      <c r="D16" s="40">
        <v>240940</v>
      </c>
      <c r="E16" s="28"/>
      <c r="F16" s="40">
        <f>-(7243288.19-7255964-2117)</f>
        <v>14792.80999999959</v>
      </c>
      <c r="G16" s="30" t="s">
        <v>31</v>
      </c>
      <c r="H16" s="40">
        <f>-(8308148.25-7714711-4503.05)</f>
        <v>-588934.2</v>
      </c>
      <c r="I16" s="28" t="s">
        <v>32</v>
      </c>
      <c r="J16" s="40"/>
      <c r="K16" s="28"/>
      <c r="L16" s="40"/>
      <c r="M16" s="28"/>
      <c r="N16" s="43"/>
      <c r="O16" s="28"/>
      <c r="P16" s="42"/>
      <c r="R16" s="42"/>
      <c r="S16" s="45"/>
      <c r="T16" s="42"/>
      <c r="U16" s="46"/>
    </row>
    <row r="17" spans="1:21" ht="17.25">
      <c r="A17" s="41" t="s">
        <v>33</v>
      </c>
      <c r="B17" s="47">
        <f>SUM(B9:B16)</f>
        <v>-5926114.5</v>
      </c>
      <c r="C17" s="19"/>
      <c r="D17" s="48">
        <f>SUM(D9:D16)</f>
        <v>-5062682</v>
      </c>
      <c r="E17" s="19"/>
      <c r="F17" s="48">
        <f>SUM(F9:F16)</f>
        <v>-5117721.19</v>
      </c>
      <c r="G17" s="21"/>
      <c r="H17" s="48">
        <f>SUM(H9:H16)</f>
        <v>-5717506.2</v>
      </c>
      <c r="I17" s="19"/>
      <c r="J17" s="48">
        <f>SUM(J9:J16)</f>
        <v>-5134764</v>
      </c>
      <c r="K17" s="19"/>
      <c r="L17" s="48">
        <f>SUM(L9:L16)</f>
        <v>-5273688</v>
      </c>
      <c r="M17" s="19"/>
      <c r="N17" s="49">
        <f>SUM(N9:N16)</f>
        <v>-5676606.660638137</v>
      </c>
      <c r="O17" s="19"/>
      <c r="P17" s="47">
        <f>SUM(P9:P16)</f>
        <v>-5675324.660638137</v>
      </c>
      <c r="Q17" s="19"/>
      <c r="R17" s="47">
        <f>SUM(R9:R16)</f>
        <v>-4584511.577082016</v>
      </c>
      <c r="S17" s="19"/>
      <c r="T17" s="47">
        <f>SUM(T9:T16)</f>
        <v>-5275784.686570946</v>
      </c>
      <c r="U17" s="25"/>
    </row>
    <row r="18" spans="1:21" ht="17.25">
      <c r="A18" s="41" t="s">
        <v>34</v>
      </c>
      <c r="B18" s="50">
        <f>B17+B7</f>
        <v>3323381.210000001</v>
      </c>
      <c r="C18" s="45"/>
      <c r="D18" s="51">
        <f>D17+D7</f>
        <v>3798966</v>
      </c>
      <c r="E18" s="45"/>
      <c r="F18" s="51">
        <f>F17+F7</f>
        <v>6488871.329999999</v>
      </c>
      <c r="G18" s="52"/>
      <c r="H18" s="51">
        <f>H17+H7</f>
        <v>7287424.89</v>
      </c>
      <c r="I18" s="45"/>
      <c r="J18" s="51">
        <f>J17+J7</f>
        <v>7311062</v>
      </c>
      <c r="K18" s="45"/>
      <c r="L18" s="51">
        <f>L17+L7</f>
        <v>7201697.01</v>
      </c>
      <c r="M18" s="45"/>
      <c r="N18" s="53">
        <f>N17+N7</f>
        <v>7064418.599669332</v>
      </c>
      <c r="O18" s="45"/>
      <c r="P18" s="50">
        <f>P17+P7</f>
        <v>7333262.1301357895</v>
      </c>
      <c r="Q18" s="45"/>
      <c r="R18" s="50">
        <f>R17+R7</f>
        <v>8697255.536298161</v>
      </c>
      <c r="S18" s="19"/>
      <c r="T18" s="50">
        <f>T17+T7</f>
        <v>8284899.536190214</v>
      </c>
      <c r="U18" s="25"/>
    </row>
    <row r="19" spans="1:21" ht="18">
      <c r="A19" s="41" t="s">
        <v>35</v>
      </c>
      <c r="B19" s="42">
        <v>836590</v>
      </c>
      <c r="C19" s="28"/>
      <c r="D19" s="40">
        <v>259520</v>
      </c>
      <c r="E19" s="28"/>
      <c r="F19" s="40">
        <f>607929.2-22323.95-2764.09</f>
        <v>582841.16</v>
      </c>
      <c r="G19" s="30"/>
      <c r="H19" s="40">
        <f>478646.88-25256.93</f>
        <v>453389.95</v>
      </c>
      <c r="I19" s="28"/>
      <c r="J19" s="40">
        <f>J4*0.025</f>
        <v>256582.11475</v>
      </c>
      <c r="K19" s="28"/>
      <c r="L19" s="40">
        <f>'[1]2003_Adjs'!C6</f>
        <v>291356.4946341464</v>
      </c>
      <c r="M19" s="30" t="s">
        <v>36</v>
      </c>
      <c r="N19" s="43">
        <f>N4*0.0225</f>
        <v>0</v>
      </c>
      <c r="O19" s="28"/>
      <c r="P19" s="54">
        <f>P4*0.033</f>
        <v>15291.361789087947</v>
      </c>
      <c r="Q19" s="55"/>
      <c r="R19" s="54">
        <f>R4*0.0415</f>
        <v>44700.72138865966</v>
      </c>
      <c r="S19" s="55"/>
      <c r="T19" s="54">
        <f>T4*0.0415</f>
        <v>73534.74349110028</v>
      </c>
      <c r="U19" s="32"/>
    </row>
    <row r="20" spans="1:254" ht="18">
      <c r="A20" s="41" t="s">
        <v>37</v>
      </c>
      <c r="B20" s="42">
        <v>7479</v>
      </c>
      <c r="C20" s="28"/>
      <c r="D20" s="40">
        <v>30660</v>
      </c>
      <c r="E20" s="28"/>
      <c r="F20" s="40">
        <f>-11876.95+104.59+6110.25+53277.52+100.31</f>
        <v>47715.719999999994</v>
      </c>
      <c r="G20" s="30"/>
      <c r="H20" s="40">
        <f>-14921.25+71.36+704.93+52874.17+100.9</f>
        <v>38830.11</v>
      </c>
      <c r="I20" s="28"/>
      <c r="J20" s="40"/>
      <c r="K20" s="28"/>
      <c r="L20" s="40">
        <f>'[1]2003_Adjs'!C14</f>
        <v>24849.607804878047</v>
      </c>
      <c r="M20" s="30" t="s">
        <v>36</v>
      </c>
      <c r="N20" s="43">
        <v>30984</v>
      </c>
      <c r="O20" s="30" t="s">
        <v>38</v>
      </c>
      <c r="P20" s="42"/>
      <c r="Q20" s="28"/>
      <c r="R20" s="42"/>
      <c r="S20" s="28"/>
      <c r="T20" s="42"/>
      <c r="U20" s="32"/>
      <c r="IT20" s="6"/>
    </row>
    <row r="21" spans="1:256" s="58" customFormat="1" ht="17.25">
      <c r="A21" s="41" t="s">
        <v>39</v>
      </c>
      <c r="B21" s="56">
        <v>3170</v>
      </c>
      <c r="C21" s="28"/>
      <c r="D21" s="57">
        <v>2691</v>
      </c>
      <c r="E21" s="28"/>
      <c r="F21" s="57">
        <v>2117.05</v>
      </c>
      <c r="G21" s="30"/>
      <c r="H21" s="40">
        <v>4503.05</v>
      </c>
      <c r="I21" s="28"/>
      <c r="J21" s="40"/>
      <c r="K21" s="28"/>
      <c r="L21" s="40">
        <f>'[1]2003_Adjs'!C17</f>
        <v>7053.013658536585</v>
      </c>
      <c r="M21" s="30" t="s">
        <v>36</v>
      </c>
      <c r="N21" s="43">
        <v>8794</v>
      </c>
      <c r="O21" s="30" t="s">
        <v>38</v>
      </c>
      <c r="P21" s="42"/>
      <c r="Q21" s="28"/>
      <c r="R21" s="42"/>
      <c r="S21" s="28"/>
      <c r="T21" s="42"/>
      <c r="U21" s="3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 s="6"/>
      <c r="IU21" s="8"/>
      <c r="IV21" s="8"/>
    </row>
    <row r="22" spans="1:254" s="8" customFormat="1" ht="17.25">
      <c r="A22" s="41" t="s">
        <v>40</v>
      </c>
      <c r="B22" s="56"/>
      <c r="C22" s="28"/>
      <c r="D22" s="57"/>
      <c r="E22" s="28"/>
      <c r="F22" s="57">
        <v>135120</v>
      </c>
      <c r="G22" s="30"/>
      <c r="H22" s="40">
        <f>-(H19+H26-392956)</f>
        <v>-61417.29000000004</v>
      </c>
      <c r="I22" s="28"/>
      <c r="J22" s="40"/>
      <c r="K22" s="28"/>
      <c r="L22" s="40"/>
      <c r="M22" s="28"/>
      <c r="N22" s="43"/>
      <c r="O22" s="28"/>
      <c r="P22" s="42"/>
      <c r="Q22" s="28"/>
      <c r="R22" s="42"/>
      <c r="S22" s="28"/>
      <c r="T22" s="42"/>
      <c r="U22" s="3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 s="6"/>
    </row>
    <row r="23" spans="1:256" s="7" customFormat="1" ht="17.25">
      <c r="A23" s="41" t="s">
        <v>41</v>
      </c>
      <c r="B23" s="42">
        <v>-208026</v>
      </c>
      <c r="C23" s="28"/>
      <c r="D23" s="40">
        <f>374481+97221</f>
        <v>471702</v>
      </c>
      <c r="E23" s="28"/>
      <c r="F23" s="40"/>
      <c r="G23" s="30"/>
      <c r="H23" s="40">
        <f>-(4500+27351.61)</f>
        <v>-31851.61</v>
      </c>
      <c r="I23" s="28"/>
      <c r="J23" s="40"/>
      <c r="K23" s="28"/>
      <c r="L23" s="40"/>
      <c r="M23" s="28"/>
      <c r="N23" s="43"/>
      <c r="O23" s="28"/>
      <c r="P23" s="42"/>
      <c r="Q23" s="45"/>
      <c r="R23" s="42"/>
      <c r="S23" s="28"/>
      <c r="T23" s="42"/>
      <c r="U23" s="3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 s="6"/>
      <c r="IU23" s="8"/>
      <c r="IV23" s="8"/>
    </row>
    <row r="24" spans="1:254" ht="17.25">
      <c r="A24" s="17" t="s">
        <v>42</v>
      </c>
      <c r="B24" s="18">
        <f>SUM(B18:B23)</f>
        <v>3962594.210000001</v>
      </c>
      <c r="C24" s="19"/>
      <c r="D24" s="20">
        <f>SUM(D18:D23)</f>
        <v>4563539</v>
      </c>
      <c r="E24" s="19"/>
      <c r="F24" s="20">
        <f>SUM(F18:F23)</f>
        <v>7256665.259999999</v>
      </c>
      <c r="G24" s="21"/>
      <c r="H24" s="20">
        <f>SUM(H18:H23)</f>
        <v>7690879.1</v>
      </c>
      <c r="I24" s="19"/>
      <c r="J24" s="20">
        <f>SUM(J18:J21)</f>
        <v>7567644.11475</v>
      </c>
      <c r="K24" s="19"/>
      <c r="L24" s="20">
        <f>SUM(L18:L21)</f>
        <v>7524956.126097561</v>
      </c>
      <c r="M24" s="19"/>
      <c r="N24" s="22">
        <f>SUM(N18:N21)</f>
        <v>7104196.599669332</v>
      </c>
      <c r="O24" s="19"/>
      <c r="P24" s="18">
        <f>SUM(P18:P21)</f>
        <v>7348553.491924877</v>
      </c>
      <c r="Q24" s="19"/>
      <c r="R24" s="18">
        <f>SUM(R18:R21)</f>
        <v>8741956.257686822</v>
      </c>
      <c r="S24" s="19"/>
      <c r="T24" s="18">
        <f>SUM(T18:T21)</f>
        <v>8358434.279681314</v>
      </c>
      <c r="U24" s="25"/>
      <c r="IT24" s="6"/>
    </row>
    <row r="25" spans="1:256" s="58" customFormat="1" ht="17.25">
      <c r="A25" s="26" t="s">
        <v>43</v>
      </c>
      <c r="B25" s="35"/>
      <c r="C25" s="28"/>
      <c r="D25" s="37"/>
      <c r="E25" s="28"/>
      <c r="F25" s="37"/>
      <c r="G25" s="30"/>
      <c r="H25" s="37"/>
      <c r="I25" s="28"/>
      <c r="J25" s="37"/>
      <c r="K25" s="28"/>
      <c r="L25" s="37"/>
      <c r="M25" s="28"/>
      <c r="N25" s="59">
        <v>463375</v>
      </c>
      <c r="O25" s="28"/>
      <c r="P25" s="35">
        <v>598460</v>
      </c>
      <c r="Q25" s="28"/>
      <c r="R25" s="35">
        <v>737735</v>
      </c>
      <c r="S25" s="28"/>
      <c r="T25" s="35">
        <v>881302</v>
      </c>
      <c r="U25" s="3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 s="6"/>
      <c r="IU25" s="8"/>
      <c r="IV25" s="8"/>
    </row>
    <row r="26" spans="1:254" ht="17.25">
      <c r="A26" s="41" t="s">
        <v>44</v>
      </c>
      <c r="B26" s="42">
        <v>836590</v>
      </c>
      <c r="C26" s="28"/>
      <c r="D26" s="40"/>
      <c r="E26" s="28"/>
      <c r="F26" s="40">
        <f>1470.49-54.75</f>
        <v>1415.74</v>
      </c>
      <c r="G26" s="30"/>
      <c r="H26" s="40">
        <f>1038.09-54.75</f>
        <v>983.3399999999999</v>
      </c>
      <c r="I26" s="28"/>
      <c r="J26" s="40"/>
      <c r="K26" s="28"/>
      <c r="L26" s="40"/>
      <c r="M26" s="28"/>
      <c r="N26" s="43"/>
      <c r="O26" s="28"/>
      <c r="P26" s="40"/>
      <c r="Q26" s="28"/>
      <c r="R26" s="40"/>
      <c r="S26" s="28"/>
      <c r="T26" s="40"/>
      <c r="U26" s="32"/>
      <c r="IT26" s="6"/>
    </row>
    <row r="27" spans="1:256" s="58" customFormat="1" ht="17.25">
      <c r="A27" s="41" t="s">
        <v>41</v>
      </c>
      <c r="B27" s="42">
        <v>208026</v>
      </c>
      <c r="C27" s="28"/>
      <c r="D27" s="40">
        <v>703811</v>
      </c>
      <c r="E27" s="28"/>
      <c r="F27" s="40"/>
      <c r="G27" s="30"/>
      <c r="H27" s="40">
        <v>27351.61</v>
      </c>
      <c r="I27" s="28"/>
      <c r="J27" s="40"/>
      <c r="K27" s="28"/>
      <c r="L27" s="40"/>
      <c r="M27" s="28"/>
      <c r="N27" s="43"/>
      <c r="O27" s="28"/>
      <c r="P27" s="42"/>
      <c r="Q27" s="45"/>
      <c r="R27" s="42"/>
      <c r="S27" s="28"/>
      <c r="T27" s="42"/>
      <c r="U27" s="32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 s="6"/>
      <c r="IU27" s="8"/>
      <c r="IV27" s="8"/>
    </row>
    <row r="28" spans="1:256" s="7" customFormat="1" ht="17.25">
      <c r="A28" s="17" t="s">
        <v>45</v>
      </c>
      <c r="B28" s="18">
        <f>SUM(B27)</f>
        <v>208026</v>
      </c>
      <c r="C28" s="19"/>
      <c r="D28" s="20">
        <f>SUM(D26:D27)</f>
        <v>703811</v>
      </c>
      <c r="E28" s="19"/>
      <c r="F28" s="20">
        <f>SUM(F26:F27)</f>
        <v>1415.74</v>
      </c>
      <c r="G28" s="21"/>
      <c r="H28" s="20">
        <f>SUM(H26:H27)</f>
        <v>28334.95</v>
      </c>
      <c r="I28" s="19"/>
      <c r="J28" s="20">
        <f>SUM(J27)</f>
        <v>0</v>
      </c>
      <c r="K28" s="19"/>
      <c r="L28" s="20">
        <f>SUM(L27)</f>
        <v>0</v>
      </c>
      <c r="M28" s="19"/>
      <c r="N28" s="22">
        <f>SUM(N27)</f>
        <v>0</v>
      </c>
      <c r="O28" s="19"/>
      <c r="P28" s="18">
        <f>SUM(P27)</f>
        <v>0</v>
      </c>
      <c r="Q28" s="19"/>
      <c r="R28" s="18">
        <f>SUM(R27)</f>
        <v>0</v>
      </c>
      <c r="S28" s="19"/>
      <c r="T28" s="18">
        <f>SUM(T27)</f>
        <v>0</v>
      </c>
      <c r="U28" s="25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 s="6"/>
      <c r="IU28" s="8"/>
      <c r="IV28" s="8"/>
    </row>
    <row r="29" spans="1:256" s="7" customFormat="1" ht="17.25">
      <c r="A29" s="17" t="s">
        <v>46</v>
      </c>
      <c r="B29" s="18">
        <f>B28+B24</f>
        <v>4170620.210000001</v>
      </c>
      <c r="C29" s="19"/>
      <c r="D29" s="20">
        <f>D28+D24</f>
        <v>5267350</v>
      </c>
      <c r="E29" s="19"/>
      <c r="F29" s="20">
        <f>F28+F24</f>
        <v>7258080.999999999</v>
      </c>
      <c r="G29" s="21"/>
      <c r="H29" s="20">
        <f>H28+H24</f>
        <v>7719214.05</v>
      </c>
      <c r="I29" s="19"/>
      <c r="J29" s="20">
        <f>J28+J24</f>
        <v>7567644.11475</v>
      </c>
      <c r="K29" s="19"/>
      <c r="L29" s="20">
        <f>L28+L24</f>
        <v>7524956.126097561</v>
      </c>
      <c r="M29" s="19"/>
      <c r="N29" s="22">
        <f>N28+N24</f>
        <v>7104196.599669332</v>
      </c>
      <c r="O29" s="19"/>
      <c r="P29" s="18">
        <f>P28+P24</f>
        <v>7348553.491924877</v>
      </c>
      <c r="Q29" s="45"/>
      <c r="R29" s="18">
        <f>R28+R24</f>
        <v>8741956.257686822</v>
      </c>
      <c r="S29" s="19"/>
      <c r="T29" s="18">
        <f>T28+T24</f>
        <v>8358434.279681314</v>
      </c>
      <c r="U29" s="25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 s="6"/>
      <c r="IU29" s="8"/>
      <c r="IV29" s="8"/>
    </row>
    <row r="30" spans="1:256" s="33" customFormat="1" ht="17.25">
      <c r="A30" s="26" t="s">
        <v>47</v>
      </c>
      <c r="B30" s="35"/>
      <c r="C30" s="28"/>
      <c r="D30" s="37"/>
      <c r="E30" s="28"/>
      <c r="F30" s="37"/>
      <c r="G30" s="30"/>
      <c r="H30" s="37"/>
      <c r="I30" s="28"/>
      <c r="J30" s="37"/>
      <c r="K30" s="28"/>
      <c r="L30" s="37"/>
      <c r="M30" s="28"/>
      <c r="N30" s="59"/>
      <c r="O30" s="28"/>
      <c r="P30" s="35"/>
      <c r="Q30" s="28"/>
      <c r="R30" s="35"/>
      <c r="S30" s="28"/>
      <c r="T30" s="35"/>
      <c r="U30" s="3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 s="34"/>
      <c r="IV30" s="34"/>
    </row>
    <row r="31" spans="1:256" s="33" customFormat="1" ht="17.25">
      <c r="A31" s="26" t="s">
        <v>48</v>
      </c>
      <c r="B31" s="35"/>
      <c r="C31" s="28"/>
      <c r="D31" s="37"/>
      <c r="E31" s="28"/>
      <c r="F31" s="37"/>
      <c r="G31" s="30"/>
      <c r="H31" s="37"/>
      <c r="I31" s="28"/>
      <c r="J31" s="37"/>
      <c r="K31" s="28"/>
      <c r="L31" s="37"/>
      <c r="M31" s="28"/>
      <c r="N31" s="59"/>
      <c r="O31" s="28"/>
      <c r="P31" s="35"/>
      <c r="Q31" s="28"/>
      <c r="R31" s="35"/>
      <c r="S31" s="28"/>
      <c r="T31" s="35"/>
      <c r="U31" s="3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 s="34"/>
      <c r="IV31" s="34"/>
    </row>
    <row r="32" spans="1:21" ht="17.25">
      <c r="A32" s="39" t="s">
        <v>49</v>
      </c>
      <c r="B32" s="27">
        <f>-168238-181</f>
        <v>-168419</v>
      </c>
      <c r="C32" s="28"/>
      <c r="D32" s="29">
        <v>-66715</v>
      </c>
      <c r="E32" s="28"/>
      <c r="F32" s="29">
        <f>-12774-109445</f>
        <v>-122219</v>
      </c>
      <c r="G32" s="30"/>
      <c r="H32" s="29">
        <f>-(27941+11032)</f>
        <v>-38973</v>
      </c>
      <c r="I32" s="28"/>
      <c r="J32" s="29">
        <v>-5247</v>
      </c>
      <c r="K32" s="28"/>
      <c r="L32" s="29">
        <v>-5247</v>
      </c>
      <c r="M32" s="28"/>
      <c r="N32" s="31">
        <v>-8398</v>
      </c>
      <c r="O32" s="28"/>
      <c r="P32" s="27">
        <f>N32*1.25</f>
        <v>-10497.5</v>
      </c>
      <c r="Q32" s="28"/>
      <c r="R32" s="27">
        <f>P32*1.25</f>
        <v>-13121.875</v>
      </c>
      <c r="S32" s="28"/>
      <c r="T32" s="27">
        <f>R32*1.25</f>
        <v>-16402.34375</v>
      </c>
      <c r="U32" s="32"/>
    </row>
    <row r="33" spans="1:21" ht="17.25">
      <c r="A33" s="39" t="s">
        <v>50</v>
      </c>
      <c r="B33" s="27"/>
      <c r="C33" s="28"/>
      <c r="D33" s="29"/>
      <c r="E33" s="28"/>
      <c r="F33" s="29"/>
      <c r="G33" s="30"/>
      <c r="H33" s="29"/>
      <c r="I33" s="28"/>
      <c r="J33" s="29"/>
      <c r="K33" s="28"/>
      <c r="L33" s="29"/>
      <c r="M33" s="28"/>
      <c r="N33" s="31">
        <v>-60991</v>
      </c>
      <c r="O33" s="28"/>
      <c r="P33" s="27">
        <f>N33*1.025</f>
        <v>-62515.774999999994</v>
      </c>
      <c r="Q33" s="28"/>
      <c r="R33" s="27">
        <f>P33*1.025</f>
        <v>-64078.66937499999</v>
      </c>
      <c r="S33" s="28"/>
      <c r="T33" s="27">
        <f>R33*1.025</f>
        <v>-65680.63610937499</v>
      </c>
      <c r="U33" s="32"/>
    </row>
    <row r="34" spans="1:21" ht="17.25">
      <c r="A34" s="39" t="s">
        <v>51</v>
      </c>
      <c r="B34" s="27"/>
      <c r="C34" s="28"/>
      <c r="D34" s="40"/>
      <c r="E34" s="5"/>
      <c r="F34" s="29"/>
      <c r="G34" s="30"/>
      <c r="I34" s="28"/>
      <c r="J34" s="40">
        <f>-(1830000+200000+1467000)</f>
        <v>-3497000</v>
      </c>
      <c r="L34" s="40">
        <f>-(1830000+200000+1467000)</f>
        <v>-3497000</v>
      </c>
      <c r="N34" s="31"/>
      <c r="O34" s="28"/>
      <c r="P34" s="29"/>
      <c r="Q34" s="28"/>
      <c r="R34" s="29"/>
      <c r="S34" s="28"/>
      <c r="T34" s="29"/>
      <c r="U34" s="32"/>
    </row>
    <row r="35" spans="1:21" ht="17.25">
      <c r="A35" s="41" t="s">
        <v>52</v>
      </c>
      <c r="B35" s="6"/>
      <c r="C35" s="28"/>
      <c r="D35" s="60"/>
      <c r="E35" s="5"/>
      <c r="F35" s="40"/>
      <c r="G35" s="61"/>
      <c r="H35" s="60"/>
      <c r="I35" s="5"/>
      <c r="J35" s="60"/>
      <c r="K35" s="28"/>
      <c r="L35" s="60"/>
      <c r="M35" s="28"/>
      <c r="N35" s="43"/>
      <c r="O35" s="28"/>
      <c r="P35" s="42"/>
      <c r="Q35" s="28"/>
      <c r="R35" s="42"/>
      <c r="S35" s="28"/>
      <c r="T35" s="42"/>
      <c r="U35" s="32"/>
    </row>
    <row r="36" spans="1:21" ht="17.25">
      <c r="A36" s="39" t="s">
        <v>53</v>
      </c>
      <c r="B36" s="42">
        <v>-862798</v>
      </c>
      <c r="C36" s="28"/>
      <c r="D36" s="62">
        <v>-755175</v>
      </c>
      <c r="E36" s="5"/>
      <c r="F36" s="40"/>
      <c r="G36" s="61"/>
      <c r="H36" s="29">
        <f>-(4583344.27+H32+H38)</f>
        <v>-4486600.329999999</v>
      </c>
      <c r="I36" s="5"/>
      <c r="J36" s="40"/>
      <c r="K36" s="30"/>
      <c r="L36" s="40"/>
      <c r="M36" s="30"/>
      <c r="N36" s="43"/>
      <c r="O36" s="28"/>
      <c r="P36" s="42"/>
      <c r="Q36" s="28"/>
      <c r="R36" s="42"/>
      <c r="S36" s="28"/>
      <c r="T36" s="42"/>
      <c r="U36" s="32"/>
    </row>
    <row r="37" spans="1:21" ht="17.25">
      <c r="A37" s="41" t="s">
        <v>54</v>
      </c>
      <c r="B37" s="42">
        <v>-1700000</v>
      </c>
      <c r="C37" s="28"/>
      <c r="D37" s="40">
        <v>-500000</v>
      </c>
      <c r="E37" s="28"/>
      <c r="F37" s="40">
        <v>-1500041</v>
      </c>
      <c r="G37" s="30"/>
      <c r="H37" s="40"/>
      <c r="I37" s="28"/>
      <c r="J37" s="40"/>
      <c r="K37" s="28"/>
      <c r="L37" s="40"/>
      <c r="M37" s="28"/>
      <c r="N37" s="43"/>
      <c r="O37" s="28"/>
      <c r="P37" s="42"/>
      <c r="Q37" s="28"/>
      <c r="R37" s="42"/>
      <c r="S37" s="28"/>
      <c r="T37" s="42"/>
      <c r="U37" s="32"/>
    </row>
    <row r="38" spans="1:21" ht="17.25">
      <c r="A38" s="41" t="s">
        <v>55</v>
      </c>
      <c r="B38" s="42"/>
      <c r="C38" s="28"/>
      <c r="D38" s="40"/>
      <c r="E38" s="5"/>
      <c r="F38" s="40">
        <f>-78096</f>
        <v>-78096</v>
      </c>
      <c r="G38" s="61"/>
      <c r="H38" s="40">
        <v>-57770.94</v>
      </c>
      <c r="I38" s="5"/>
      <c r="J38" s="40">
        <v>-82500</v>
      </c>
      <c r="L38" s="40">
        <v>-82500</v>
      </c>
      <c r="N38" s="43">
        <v>-286982</v>
      </c>
      <c r="O38" s="28"/>
      <c r="P38" s="42">
        <v>-286982</v>
      </c>
      <c r="Q38" s="28"/>
      <c r="R38" s="42">
        <v>-286982</v>
      </c>
      <c r="S38" s="28"/>
      <c r="T38" s="42">
        <v>-286982</v>
      </c>
      <c r="U38" s="32"/>
    </row>
    <row r="39" spans="1:21" ht="17.25">
      <c r="A39" s="41" t="s">
        <v>56</v>
      </c>
      <c r="B39" s="42"/>
      <c r="C39" s="28"/>
      <c r="D39" s="40"/>
      <c r="E39" s="28"/>
      <c r="F39" s="40">
        <v>-1398658</v>
      </c>
      <c r="G39" s="30"/>
      <c r="H39" s="40">
        <v>-4010000</v>
      </c>
      <c r="I39" s="28"/>
      <c r="J39" s="40"/>
      <c r="K39" s="30"/>
      <c r="L39" s="40"/>
      <c r="M39" s="30"/>
      <c r="N39" s="43"/>
      <c r="O39" s="28"/>
      <c r="P39" s="42"/>
      <c r="Q39" s="28"/>
      <c r="R39" s="42"/>
      <c r="S39" s="28"/>
      <c r="T39" s="42"/>
      <c r="U39" s="32"/>
    </row>
    <row r="40" spans="1:256" s="63" customFormat="1" ht="17.25">
      <c r="A40" s="41" t="s">
        <v>57</v>
      </c>
      <c r="B40" s="42">
        <v>-250000</v>
      </c>
      <c r="C40" s="28"/>
      <c r="D40" s="40">
        <v>-106012</v>
      </c>
      <c r="E40" s="28"/>
      <c r="F40" s="40">
        <v>-600000</v>
      </c>
      <c r="G40" s="30"/>
      <c r="H40" s="40">
        <v>-2353445.4</v>
      </c>
      <c r="I40" s="28"/>
      <c r="J40" s="40"/>
      <c r="K40" s="30"/>
      <c r="L40" s="40"/>
      <c r="M40" s="30"/>
      <c r="N40" s="43"/>
      <c r="O40" s="28"/>
      <c r="P40" s="42"/>
      <c r="Q40" s="28"/>
      <c r="R40" s="42"/>
      <c r="S40" s="28"/>
      <c r="T40" s="42"/>
      <c r="U40" s="3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 s="6"/>
      <c r="IV40" s="6"/>
    </row>
    <row r="41" spans="1:256" s="64" customFormat="1" ht="17.25">
      <c r="A41" s="41" t="s">
        <v>58</v>
      </c>
      <c r="B41" s="42"/>
      <c r="C41" s="28"/>
      <c r="D41" s="40"/>
      <c r="E41" s="5"/>
      <c r="F41" s="40"/>
      <c r="G41" s="30"/>
      <c r="H41" s="40"/>
      <c r="I41" s="28"/>
      <c r="J41" s="8"/>
      <c r="K41" s="28"/>
      <c r="L41" s="40">
        <f>-(L4+L29+SUM(L32:L40)+L42)</f>
        <v>-3002779.71609756</v>
      </c>
      <c r="M41" s="28"/>
      <c r="N41" s="43">
        <v>-6284451</v>
      </c>
      <c r="O41" s="28"/>
      <c r="P41" s="42">
        <v>-6374807</v>
      </c>
      <c r="Q41" s="28"/>
      <c r="R41" s="42">
        <v>-7682978</v>
      </c>
      <c r="S41" s="28"/>
      <c r="T41" s="42">
        <v>-7567589</v>
      </c>
      <c r="U41" s="3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 s="8"/>
      <c r="IV41" s="8"/>
    </row>
    <row r="42" spans="1:256" s="7" customFormat="1" ht="17.25">
      <c r="A42" s="65" t="s">
        <v>59</v>
      </c>
      <c r="B42" s="66"/>
      <c r="C42" s="45"/>
      <c r="D42" s="67"/>
      <c r="E42" s="68"/>
      <c r="F42" s="69"/>
      <c r="G42" s="52"/>
      <c r="H42" s="67"/>
      <c r="I42" s="45"/>
      <c r="J42" s="67">
        <f>+H54</f>
        <v>-11200714</v>
      </c>
      <c r="K42" s="45"/>
      <c r="L42" s="67">
        <f>+H54</f>
        <v>-11200714</v>
      </c>
      <c r="M42" s="45"/>
      <c r="N42" s="70"/>
      <c r="O42" s="45"/>
      <c r="P42" s="66"/>
      <c r="Q42" s="45"/>
      <c r="R42" s="66"/>
      <c r="S42" s="45"/>
      <c r="T42" s="66"/>
      <c r="U42" s="46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 s="8"/>
      <c r="IV42" s="8"/>
    </row>
    <row r="43" spans="1:21" ht="17.25">
      <c r="A43" s="71" t="s">
        <v>60</v>
      </c>
      <c r="B43" s="72">
        <f>SUM(B31:B42)</f>
        <v>-2981217</v>
      </c>
      <c r="C43" s="45"/>
      <c r="D43" s="73">
        <f>SUM(D31:D42)</f>
        <v>-1427902</v>
      </c>
      <c r="E43" s="45"/>
      <c r="F43" s="73">
        <f>SUM(F32:F42)</f>
        <v>-3699014</v>
      </c>
      <c r="G43" s="52"/>
      <c r="H43" s="73">
        <f>SUM(H32:H42)</f>
        <v>-10946789.67</v>
      </c>
      <c r="I43" s="45"/>
      <c r="J43" s="73">
        <f>SUM(J31:J42)</f>
        <v>-14785461</v>
      </c>
      <c r="K43" s="45"/>
      <c r="L43" s="73">
        <f>SUM(L31:L42)</f>
        <v>-17788240.71609756</v>
      </c>
      <c r="M43" s="45"/>
      <c r="N43" s="74">
        <f>SUM(N31:N42)</f>
        <v>-6640822</v>
      </c>
      <c r="O43" s="45"/>
      <c r="P43" s="72">
        <f>SUM(P31:P42)</f>
        <v>-6734802.275</v>
      </c>
      <c r="Q43" s="45"/>
      <c r="R43" s="72">
        <f>SUM(R31:R42)</f>
        <v>-8047160.544375</v>
      </c>
      <c r="S43" s="45"/>
      <c r="T43" s="72">
        <f>SUM(T31:T42)</f>
        <v>-7936653.979859375</v>
      </c>
      <c r="U43" s="46"/>
    </row>
    <row r="44" spans="1:21" ht="17.25">
      <c r="A44" s="26" t="s">
        <v>43</v>
      </c>
      <c r="B44" s="35"/>
      <c r="C44" s="28"/>
      <c r="D44" s="37"/>
      <c r="E44" s="28"/>
      <c r="F44" s="37"/>
      <c r="G44" s="30"/>
      <c r="H44" s="37"/>
      <c r="I44" s="28"/>
      <c r="J44" s="37"/>
      <c r="K44" s="28"/>
      <c r="L44" s="37"/>
      <c r="M44" s="28"/>
      <c r="N44" s="59"/>
      <c r="O44" s="28"/>
      <c r="P44" s="35"/>
      <c r="Q44" s="28"/>
      <c r="R44" s="35"/>
      <c r="S44" s="28"/>
      <c r="T44" s="35"/>
      <c r="U44" s="32"/>
    </row>
    <row r="45" spans="1:21" ht="17.25">
      <c r="A45" s="41" t="s">
        <v>61</v>
      </c>
      <c r="B45" s="42"/>
      <c r="C45" s="28"/>
      <c r="D45" s="40"/>
      <c r="E45" s="28"/>
      <c r="F45" s="40"/>
      <c r="G45" s="30"/>
      <c r="H45" s="40"/>
      <c r="I45" s="28"/>
      <c r="J45" s="40"/>
      <c r="K45" s="28"/>
      <c r="L45" s="40"/>
      <c r="M45" s="28"/>
      <c r="N45" s="43"/>
      <c r="O45" s="28"/>
      <c r="P45" s="42"/>
      <c r="Q45" s="28"/>
      <c r="R45" s="42"/>
      <c r="S45" s="28"/>
      <c r="T45" s="42"/>
      <c r="U45" s="32"/>
    </row>
    <row r="46" spans="1:21" ht="17.25">
      <c r="A46" s="41" t="s">
        <v>62</v>
      </c>
      <c r="B46" s="42"/>
      <c r="C46" s="28"/>
      <c r="D46" s="40"/>
      <c r="E46" s="28"/>
      <c r="F46" s="40"/>
      <c r="G46" s="30"/>
      <c r="H46" s="40"/>
      <c r="I46" s="28"/>
      <c r="J46" s="40"/>
      <c r="K46" s="28"/>
      <c r="L46" s="40"/>
      <c r="M46" s="28"/>
      <c r="N46" s="43"/>
      <c r="O46" s="28"/>
      <c r="P46" s="42"/>
      <c r="Q46" s="28"/>
      <c r="R46" s="42"/>
      <c r="S46" s="28"/>
      <c r="T46" s="42"/>
      <c r="U46" s="32"/>
    </row>
    <row r="47" spans="1:21" ht="17.25">
      <c r="A47" s="41" t="s">
        <v>56</v>
      </c>
      <c r="B47" s="42">
        <f>6987+4498-4665-27623+45-6987</f>
        <v>-27745</v>
      </c>
      <c r="C47" s="28"/>
      <c r="D47" s="40">
        <f>-348658+181</f>
        <v>-348477</v>
      </c>
      <c r="E47" s="28"/>
      <c r="F47" s="40"/>
      <c r="G47" s="30"/>
      <c r="H47" s="40"/>
      <c r="I47" s="28"/>
      <c r="J47" s="40"/>
      <c r="K47" s="28"/>
      <c r="L47" s="40"/>
      <c r="M47" s="28"/>
      <c r="N47" s="43"/>
      <c r="O47" s="28"/>
      <c r="P47" s="42"/>
      <c r="Q47" s="28"/>
      <c r="R47" s="42"/>
      <c r="S47" s="28"/>
      <c r="T47" s="42"/>
      <c r="U47" s="32"/>
    </row>
    <row r="48" spans="1:256" s="58" customFormat="1" ht="17.25">
      <c r="A48" s="41" t="s">
        <v>63</v>
      </c>
      <c r="B48" s="42">
        <f>-1078292-181</f>
        <v>-1078473</v>
      </c>
      <c r="C48" s="28"/>
      <c r="D48" s="40">
        <v>-224634</v>
      </c>
      <c r="E48" s="28"/>
      <c r="F48" s="40"/>
      <c r="G48" s="30"/>
      <c r="H48" s="40"/>
      <c r="I48" s="28"/>
      <c r="J48" s="40"/>
      <c r="K48" s="28"/>
      <c r="L48" s="40"/>
      <c r="M48" s="28"/>
      <c r="N48" s="43"/>
      <c r="O48" s="28"/>
      <c r="P48" s="42"/>
      <c r="Q48" s="28"/>
      <c r="R48" s="42"/>
      <c r="S48" s="28"/>
      <c r="T48" s="42"/>
      <c r="U48" s="32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 s="8"/>
      <c r="IV48" s="8"/>
    </row>
    <row r="49" spans="1:256" s="58" customFormat="1" ht="17.25">
      <c r="A49" s="41" t="s">
        <v>59</v>
      </c>
      <c r="B49" s="42"/>
      <c r="C49" s="28"/>
      <c r="D49" s="40"/>
      <c r="E49" s="28"/>
      <c r="F49" s="40"/>
      <c r="G49" s="30"/>
      <c r="H49" s="40"/>
      <c r="I49" s="28"/>
      <c r="J49" s="40"/>
      <c r="K49" s="28"/>
      <c r="L49" s="40"/>
      <c r="M49" s="28"/>
      <c r="N49" s="43"/>
      <c r="O49" s="28"/>
      <c r="P49" s="42"/>
      <c r="Q49" s="45"/>
      <c r="R49" s="42"/>
      <c r="S49" s="28"/>
      <c r="T49" s="42"/>
      <c r="U49" s="3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 s="8"/>
      <c r="IV49" s="8"/>
    </row>
    <row r="50" spans="1:256" s="64" customFormat="1" ht="17.25">
      <c r="A50" s="17" t="s">
        <v>64</v>
      </c>
      <c r="B50" s="18">
        <f>SUM(B45:B49)</f>
        <v>-1106218</v>
      </c>
      <c r="C50" s="19"/>
      <c r="D50" s="20">
        <f>SUM(D45:D49)</f>
        <v>-573111</v>
      </c>
      <c r="E50" s="19"/>
      <c r="F50" s="20">
        <f>SUM(F45:F49)</f>
        <v>0</v>
      </c>
      <c r="G50" s="21"/>
      <c r="H50" s="20">
        <f>SUM(H45:H49)</f>
        <v>0</v>
      </c>
      <c r="I50" s="19"/>
      <c r="J50" s="20">
        <f>SUM(J45:J49)</f>
        <v>0</v>
      </c>
      <c r="K50" s="19"/>
      <c r="L50" s="20">
        <f>SUM(L45:L49)</f>
        <v>0</v>
      </c>
      <c r="M50" s="19"/>
      <c r="N50" s="22">
        <f>SUM(N45:N49)</f>
        <v>0</v>
      </c>
      <c r="O50" s="19"/>
      <c r="P50" s="18">
        <f>SUM(P45:P49)</f>
        <v>0</v>
      </c>
      <c r="Q50" s="19"/>
      <c r="R50" s="18">
        <f>SUM(R45:R49)</f>
        <v>0</v>
      </c>
      <c r="S50" s="19"/>
      <c r="T50" s="18">
        <f>SUM(T45:T49)</f>
        <v>0</v>
      </c>
      <c r="U50" s="25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 s="8"/>
      <c r="IV50" s="8"/>
    </row>
    <row r="51" spans="1:256" s="7" customFormat="1" ht="17.25">
      <c r="A51" s="17" t="s">
        <v>65</v>
      </c>
      <c r="B51" s="18">
        <f>B50+B43</f>
        <v>-4087435</v>
      </c>
      <c r="C51" s="19"/>
      <c r="D51" s="20">
        <f>D50+D43</f>
        <v>-2001013</v>
      </c>
      <c r="E51" s="19"/>
      <c r="F51" s="20">
        <f>F50+F43</f>
        <v>-3699014</v>
      </c>
      <c r="G51" s="21"/>
      <c r="H51" s="20">
        <f>H50+H43</f>
        <v>-10946789.67</v>
      </c>
      <c r="I51" s="19"/>
      <c r="J51" s="20">
        <f>J50+J43</f>
        <v>-14785461</v>
      </c>
      <c r="K51" s="19"/>
      <c r="L51" s="20">
        <f>L50+L43</f>
        <v>-17788240.71609756</v>
      </c>
      <c r="M51" s="19"/>
      <c r="N51" s="22">
        <f>N50+N43</f>
        <v>-6640822</v>
      </c>
      <c r="O51" s="19"/>
      <c r="P51" s="18">
        <f>P50+P43</f>
        <v>-6734802.275</v>
      </c>
      <c r="Q51" s="19"/>
      <c r="R51" s="18">
        <f>R50+R43</f>
        <v>-8047160.544375</v>
      </c>
      <c r="S51" s="19"/>
      <c r="T51" s="18">
        <f>T50+T43</f>
        <v>-7936653.979859375</v>
      </c>
      <c r="U51" s="25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 s="8"/>
      <c r="IV51" s="8"/>
    </row>
    <row r="52" spans="1:21" ht="17.25">
      <c r="A52" s="71" t="s">
        <v>66</v>
      </c>
      <c r="B52" s="72">
        <f>B51+B29+B4</f>
        <v>6665456.210000001</v>
      </c>
      <c r="C52" s="45" t="s">
        <v>67</v>
      </c>
      <c r="D52" s="73">
        <f>D51+D29+D4</f>
        <v>9931793.21</v>
      </c>
      <c r="E52" s="45"/>
      <c r="F52" s="73">
        <f>F51+F29+F4</f>
        <v>13490860.21</v>
      </c>
      <c r="G52" s="52"/>
      <c r="H52" s="73">
        <f>H51+H29+H4</f>
        <v>10263284.59</v>
      </c>
      <c r="I52" s="45"/>
      <c r="J52" s="73">
        <f>J51+J29+J4</f>
        <v>3045467.7047499996</v>
      </c>
      <c r="K52" s="45"/>
      <c r="L52" s="73">
        <f>L51+L29+L4</f>
        <v>0</v>
      </c>
      <c r="M52" s="45"/>
      <c r="N52" s="74">
        <f>N51+N29+N4</f>
        <v>463374.5996693317</v>
      </c>
      <c r="O52" s="45"/>
      <c r="P52" s="72">
        <f>P51+P29+P4</f>
        <v>1077125.8165942086</v>
      </c>
      <c r="Q52" s="45"/>
      <c r="R52" s="72">
        <f>R51+R29+R4</f>
        <v>1771921.5299060307</v>
      </c>
      <c r="S52" s="45"/>
      <c r="T52" s="72">
        <f>T51+T29+T4</f>
        <v>2193701.829727969</v>
      </c>
      <c r="U52" s="46"/>
    </row>
    <row r="53" spans="1:21" ht="17.25">
      <c r="A53" s="26" t="s">
        <v>68</v>
      </c>
      <c r="B53" s="35"/>
      <c r="C53" s="28"/>
      <c r="D53" s="37"/>
      <c r="E53" s="28"/>
      <c r="F53" s="37"/>
      <c r="G53" s="30"/>
      <c r="H53" s="37"/>
      <c r="I53" s="28"/>
      <c r="J53" s="37"/>
      <c r="K53" s="28"/>
      <c r="L53" s="37"/>
      <c r="M53" s="28"/>
      <c r="N53" s="59"/>
      <c r="O53" s="28"/>
      <c r="P53" s="35"/>
      <c r="Q53" s="28"/>
      <c r="R53" s="35"/>
      <c r="S53" s="28"/>
      <c r="T53" s="35"/>
      <c r="U53" s="32"/>
    </row>
    <row r="54" spans="1:256" s="58" customFormat="1" ht="17.25">
      <c r="A54" s="41" t="s">
        <v>69</v>
      </c>
      <c r="B54" s="42">
        <v>-1901668</v>
      </c>
      <c r="C54" s="28" t="s">
        <v>70</v>
      </c>
      <c r="D54" s="40">
        <v>-2416106</v>
      </c>
      <c r="E54" s="28"/>
      <c r="F54" s="3">
        <f>-13091810+24632</f>
        <v>-13067178</v>
      </c>
      <c r="G54" s="4" t="s">
        <v>71</v>
      </c>
      <c r="H54" s="40">
        <v>-11200714</v>
      </c>
      <c r="I54" s="28"/>
      <c r="J54" s="40"/>
      <c r="K54" s="28"/>
      <c r="L54" s="40"/>
      <c r="M54" s="28"/>
      <c r="N54" s="43"/>
      <c r="O54" s="28"/>
      <c r="P54" s="42"/>
      <c r="Q54" s="28"/>
      <c r="R54" s="42"/>
      <c r="S54" s="28"/>
      <c r="T54" s="42"/>
      <c r="U54" s="3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 s="8"/>
      <c r="IV54" s="8"/>
    </row>
    <row r="55" spans="1:21" ht="17.25">
      <c r="A55" s="41" t="s">
        <v>72</v>
      </c>
      <c r="F55" s="3">
        <f>-F22</f>
        <v>-135120</v>
      </c>
      <c r="H55" s="3">
        <f>-H22</f>
        <v>61417.29000000004</v>
      </c>
      <c r="N55" s="75"/>
      <c r="S55" s="28"/>
      <c r="U55" s="32"/>
    </row>
    <row r="56" spans="1:256" s="58" customFormat="1" ht="17.25">
      <c r="A56" s="41" t="s">
        <v>73</v>
      </c>
      <c r="B56" s="76">
        <v>-596620</v>
      </c>
      <c r="C56" s="28"/>
      <c r="D56" s="62"/>
      <c r="E56" s="28"/>
      <c r="F56" s="40"/>
      <c r="G56" s="30"/>
      <c r="H56" s="40"/>
      <c r="I56" s="28"/>
      <c r="J56" s="40"/>
      <c r="K56" s="28"/>
      <c r="L56" s="40"/>
      <c r="M56" s="28"/>
      <c r="N56" s="43"/>
      <c r="O56" s="28"/>
      <c r="P56" s="42"/>
      <c r="Q56" s="45"/>
      <c r="R56" s="42"/>
      <c r="S56" s="28"/>
      <c r="T56" s="42"/>
      <c r="U56" s="32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 s="8"/>
      <c r="IV56" s="8"/>
    </row>
    <row r="57" spans="1:256" s="78" customFormat="1" ht="17.25">
      <c r="A57" s="17" t="s">
        <v>74</v>
      </c>
      <c r="B57" s="18">
        <f>SUM(B54:B56)</f>
        <v>-2498288</v>
      </c>
      <c r="C57" s="19"/>
      <c r="D57" s="20">
        <f>SUM(D54:D56)</f>
        <v>-2416106</v>
      </c>
      <c r="E57" s="19"/>
      <c r="F57" s="20">
        <f>SUM(F54:F56)</f>
        <v>-13202298</v>
      </c>
      <c r="G57" s="21"/>
      <c r="H57" s="20">
        <f>SUM(H54:H56)</f>
        <v>-11139296.71</v>
      </c>
      <c r="I57" s="19"/>
      <c r="J57" s="20">
        <f>SUM(J54:J56)</f>
        <v>0</v>
      </c>
      <c r="K57" s="19"/>
      <c r="L57" s="20">
        <f>SUM(L54:L56)</f>
        <v>0</v>
      </c>
      <c r="M57" s="19"/>
      <c r="N57" s="22">
        <f>SUM(N54:N56)</f>
        <v>0</v>
      </c>
      <c r="O57" s="19"/>
      <c r="P57" s="18">
        <f>SUM(P54:P56)</f>
        <v>0</v>
      </c>
      <c r="Q57" s="19"/>
      <c r="R57" s="18">
        <f>SUM(R54:R56)</f>
        <v>0</v>
      </c>
      <c r="S57" s="19"/>
      <c r="T57" s="18">
        <f>SUM(T54:T56)</f>
        <v>0</v>
      </c>
      <c r="U57" s="2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 s="77"/>
      <c r="IV57" s="77"/>
    </row>
    <row r="58" spans="1:256" s="80" customFormat="1" ht="17.25">
      <c r="A58" s="17" t="s">
        <v>75</v>
      </c>
      <c r="B58" s="18">
        <f>B57+B52</f>
        <v>4167168.210000001</v>
      </c>
      <c r="C58" s="19"/>
      <c r="D58" s="20">
        <f>D57+D52</f>
        <v>7515687.210000001</v>
      </c>
      <c r="E58" s="19"/>
      <c r="F58" s="20">
        <f>F57+F52</f>
        <v>288562.2100000009</v>
      </c>
      <c r="G58" s="21"/>
      <c r="H58" s="20">
        <f>H57+H52</f>
        <v>-876012.120000001</v>
      </c>
      <c r="I58" s="19"/>
      <c r="J58" s="20">
        <f>J57+J52</f>
        <v>3045467.7047499996</v>
      </c>
      <c r="K58" s="19"/>
      <c r="L58" s="20">
        <f>L57+L52</f>
        <v>0</v>
      </c>
      <c r="M58" s="19"/>
      <c r="N58" s="22">
        <f>N57+N52</f>
        <v>463374.5996693317</v>
      </c>
      <c r="O58" s="19"/>
      <c r="P58" s="18">
        <f>P57+P52</f>
        <v>1077125.8165942086</v>
      </c>
      <c r="Q58" s="19"/>
      <c r="R58" s="18">
        <f>R57+R52</f>
        <v>1771921.5299060307</v>
      </c>
      <c r="S58" s="19"/>
      <c r="T58" s="18">
        <f>T57+T52</f>
        <v>2193701.829727969</v>
      </c>
      <c r="U58" s="2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 s="79"/>
      <c r="IV58" s="79"/>
    </row>
    <row r="59" spans="1:256" s="87" customFormat="1" ht="17.25">
      <c r="A59" s="81" t="s">
        <v>76</v>
      </c>
      <c r="B59" s="82">
        <f>2047991+B54+B43+B24--3039466</f>
        <v>4167166.210000001</v>
      </c>
      <c r="C59" s="83"/>
      <c r="D59" s="84"/>
      <c r="E59" s="83"/>
      <c r="F59" s="84"/>
      <c r="G59" s="85"/>
      <c r="H59" s="84"/>
      <c r="I59" s="83"/>
      <c r="J59" s="84"/>
      <c r="K59" s="83"/>
      <c r="L59" s="84"/>
      <c r="M59" s="83"/>
      <c r="N59" s="82"/>
      <c r="O59" s="83"/>
      <c r="P59" s="82"/>
      <c r="Q59" s="28"/>
      <c r="R59" s="82"/>
      <c r="S59" s="83"/>
      <c r="T59" s="82"/>
      <c r="U59" s="8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 s="77"/>
      <c r="IV59" s="77"/>
    </row>
    <row r="60" spans="1:256" s="95" customFormat="1" ht="17.25">
      <c r="A60" s="88" t="s">
        <v>77</v>
      </c>
      <c r="B60" s="89">
        <f>-208026+B56+B50+B28--1702840</f>
        <v>2</v>
      </c>
      <c r="C60" s="90"/>
      <c r="D60" s="91"/>
      <c r="E60" s="90"/>
      <c r="F60" s="91"/>
      <c r="G60" s="92"/>
      <c r="H60" s="91"/>
      <c r="I60" s="90"/>
      <c r="J60" s="91"/>
      <c r="K60" s="90"/>
      <c r="L60" s="91"/>
      <c r="M60" s="90"/>
      <c r="N60" s="89"/>
      <c r="O60" s="90"/>
      <c r="P60" s="89"/>
      <c r="Q60" s="90"/>
      <c r="R60" s="89"/>
      <c r="S60" s="90"/>
      <c r="T60" s="89"/>
      <c r="U60" s="93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 s="94"/>
      <c r="IV60" s="94"/>
    </row>
    <row r="61" spans="1:21" ht="17.25">
      <c r="A61" s="7"/>
      <c r="B61" s="35"/>
      <c r="C61" s="28"/>
      <c r="D61" s="35"/>
      <c r="E61" s="28"/>
      <c r="F61" s="37"/>
      <c r="G61" s="30"/>
      <c r="H61" s="37"/>
      <c r="I61" s="28"/>
      <c r="J61" s="37"/>
      <c r="K61" s="28"/>
      <c r="L61" s="37"/>
      <c r="M61" s="28"/>
      <c r="N61" s="35"/>
      <c r="O61" s="28"/>
      <c r="P61" s="35"/>
      <c r="Q61" s="28"/>
      <c r="R61" s="35"/>
      <c r="S61" s="28"/>
      <c r="T61" s="35"/>
      <c r="U61" s="28"/>
    </row>
    <row r="62" spans="1:21" ht="17.25">
      <c r="A62" s="7"/>
      <c r="B62" s="35"/>
      <c r="C62" s="28"/>
      <c r="D62" s="35"/>
      <c r="E62" s="28"/>
      <c r="F62" s="37"/>
      <c r="G62" s="30"/>
      <c r="H62" s="37"/>
      <c r="I62" s="28"/>
      <c r="J62" s="37"/>
      <c r="K62" s="28"/>
      <c r="L62" s="37"/>
      <c r="M62" s="28"/>
      <c r="N62" s="35"/>
      <c r="O62" s="28"/>
      <c r="P62" s="35"/>
      <c r="Q62" s="28"/>
      <c r="R62" s="35"/>
      <c r="S62" s="28"/>
      <c r="T62" s="35"/>
      <c r="U62" s="28"/>
    </row>
    <row r="63" spans="1:21" ht="17.25">
      <c r="A63" s="7"/>
      <c r="B63" s="35"/>
      <c r="C63" s="28"/>
      <c r="D63" s="35"/>
      <c r="E63" s="28"/>
      <c r="F63" s="37"/>
      <c r="G63" s="30"/>
      <c r="H63" s="37"/>
      <c r="I63" s="28"/>
      <c r="J63" s="37"/>
      <c r="K63" s="28"/>
      <c r="L63" s="37"/>
      <c r="M63" s="28"/>
      <c r="N63" s="35"/>
      <c r="O63" s="28"/>
      <c r="P63" s="35"/>
      <c r="Q63" s="28"/>
      <c r="R63" s="35"/>
      <c r="S63" s="28"/>
      <c r="T63" s="35"/>
      <c r="U63" s="28"/>
    </row>
    <row r="64" spans="2:254" s="34" customFormat="1" ht="17.25">
      <c r="B64" s="96">
        <v>2006</v>
      </c>
      <c r="C64" s="8"/>
      <c r="D64" s="96">
        <v>2006</v>
      </c>
      <c r="E64" s="8"/>
      <c r="F64" s="96">
        <v>2006</v>
      </c>
      <c r="G64" s="8"/>
      <c r="H64" s="96">
        <v>2006</v>
      </c>
      <c r="I64" s="28"/>
      <c r="J64" s="29"/>
      <c r="K64" s="28"/>
      <c r="L64" s="29"/>
      <c r="M64" s="28"/>
      <c r="N64" s="27"/>
      <c r="O64" s="28"/>
      <c r="P64" s="27"/>
      <c r="Q64" s="28"/>
      <c r="S64" s="28"/>
      <c r="T64" s="27"/>
      <c r="U64" s="28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2:254" s="34" customFormat="1" ht="17.25">
      <c r="B65" s="96" t="s">
        <v>78</v>
      </c>
      <c r="C65" s="97"/>
      <c r="D65" s="96" t="s">
        <v>79</v>
      </c>
      <c r="E65" s="98"/>
      <c r="F65" s="96" t="s">
        <v>80</v>
      </c>
      <c r="G65" s="97"/>
      <c r="H65" s="96" t="s">
        <v>81</v>
      </c>
      <c r="I65" s="28"/>
      <c r="J65" s="29"/>
      <c r="K65" s="28"/>
      <c r="L65" s="29"/>
      <c r="M65" s="28"/>
      <c r="N65" s="27"/>
      <c r="O65" s="28"/>
      <c r="P65" s="27"/>
      <c r="Q65" s="28"/>
      <c r="S65" s="28"/>
      <c r="T65" s="27"/>
      <c r="U65" s="28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34" customFormat="1" ht="17.25">
      <c r="A66" s="7" t="s">
        <v>82</v>
      </c>
      <c r="B66" s="99" t="s">
        <v>83</v>
      </c>
      <c r="C66" s="97"/>
      <c r="D66" s="96" t="s">
        <v>84</v>
      </c>
      <c r="E66" s="98"/>
      <c r="F66" s="96" t="s">
        <v>85</v>
      </c>
      <c r="G66" s="97"/>
      <c r="H66" s="100" t="s">
        <v>86</v>
      </c>
      <c r="I66" s="28"/>
      <c r="J66" s="29"/>
      <c r="K66" s="28"/>
      <c r="L66" s="29"/>
      <c r="M66" s="28"/>
      <c r="N66" s="27"/>
      <c r="O66" s="28"/>
      <c r="P66" s="27"/>
      <c r="Q66" s="28"/>
      <c r="S66" s="28"/>
      <c r="T66" s="27"/>
      <c r="U66" s="28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254" s="34" customFormat="1" ht="17.25">
      <c r="A67" t="s">
        <v>87</v>
      </c>
      <c r="B67" s="3">
        <f>-(R17+R38)</f>
        <v>4871493.577082016</v>
      </c>
      <c r="C67" s="1"/>
      <c r="D67" s="3">
        <f aca="true" t="shared" si="0" ref="D67:D73">B67+($R$17+$R$38)</f>
        <v>0</v>
      </c>
      <c r="E67" s="1"/>
      <c r="F67" s="27">
        <f aca="true" t="shared" si="1" ref="F67:F73">PV(0.05,20,-(D67))</f>
        <v>0</v>
      </c>
      <c r="G67" s="1"/>
      <c r="H67" s="42">
        <f aca="true" t="shared" si="2" ref="H67:H73">-($R$41+D67)</f>
        <v>7682978</v>
      </c>
      <c r="I67" s="28"/>
      <c r="J67" s="29"/>
      <c r="K67" s="28"/>
      <c r="L67" s="29"/>
      <c r="M67" s="28"/>
      <c r="N67" s="27"/>
      <c r="O67" s="28"/>
      <c r="P67" s="27"/>
      <c r="Q67" s="28"/>
      <c r="S67" s="28"/>
      <c r="T67" s="27"/>
      <c r="U67" s="28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14" ht="17.25">
      <c r="A68" t="s">
        <v>88</v>
      </c>
      <c r="B68" s="3">
        <f>$R$7*0.5</f>
        <v>6640883.5566900885</v>
      </c>
      <c r="D68" s="3">
        <f t="shared" si="0"/>
        <v>1769389.979608073</v>
      </c>
      <c r="F68" s="27">
        <f t="shared" si="1"/>
        <v>22050510.10385834</v>
      </c>
      <c r="G68" s="1"/>
      <c r="H68" s="42">
        <f t="shared" si="2"/>
        <v>5913588.020391927</v>
      </c>
      <c r="N68" s="35"/>
    </row>
    <row r="69" spans="1:14" ht="17.25">
      <c r="A69" t="s">
        <v>89</v>
      </c>
      <c r="B69" s="3">
        <f>$R$7*0.6</f>
        <v>7969060.268028106</v>
      </c>
      <c r="D69" s="3">
        <f t="shared" si="0"/>
        <v>3097566.69094609</v>
      </c>
      <c r="F69" s="27">
        <f t="shared" si="1"/>
        <v>38602527.652615726</v>
      </c>
      <c r="H69" s="42">
        <f t="shared" si="2"/>
        <v>4585411.30905391</v>
      </c>
      <c r="N69" s="35"/>
    </row>
    <row r="70" spans="1:14" ht="17.25">
      <c r="A70" t="s">
        <v>90</v>
      </c>
      <c r="B70" s="3">
        <f>$R$7*0.7</f>
        <v>9297236.979366124</v>
      </c>
      <c r="D70" s="3">
        <f t="shared" si="0"/>
        <v>4425743.402284108</v>
      </c>
      <c r="F70" s="27">
        <f t="shared" si="1"/>
        <v>55154545.201373115</v>
      </c>
      <c r="H70" s="42">
        <f t="shared" si="2"/>
        <v>3257234.597715892</v>
      </c>
      <c r="N70" s="35"/>
    </row>
    <row r="71" spans="1:14" ht="17.25">
      <c r="A71" t="s">
        <v>91</v>
      </c>
      <c r="B71" s="3">
        <f>$R$7*0.8</f>
        <v>10625413.690704143</v>
      </c>
      <c r="D71" s="3">
        <f t="shared" si="0"/>
        <v>5753920.113622127</v>
      </c>
      <c r="F71" s="27">
        <f t="shared" si="1"/>
        <v>71706562.75013053</v>
      </c>
      <c r="H71" s="42">
        <f t="shared" si="2"/>
        <v>1929057.886377873</v>
      </c>
      <c r="N71" s="35"/>
    </row>
    <row r="72" spans="1:14" ht="17.25">
      <c r="A72" t="s">
        <v>92</v>
      </c>
      <c r="B72" s="3">
        <f>$R$7*0.9</f>
        <v>11953590.40204216</v>
      </c>
      <c r="D72" s="3">
        <f t="shared" si="0"/>
        <v>7082096.824960144</v>
      </c>
      <c r="F72" s="27">
        <f t="shared" si="1"/>
        <v>88258580.29888791</v>
      </c>
      <c r="H72" s="42">
        <f t="shared" si="2"/>
        <v>600881.1750398558</v>
      </c>
      <c r="N72" s="35"/>
    </row>
    <row r="73" spans="1:18" ht="17.25">
      <c r="A73" t="s">
        <v>93</v>
      </c>
      <c r="B73" s="3">
        <f>$R$7-122219</f>
        <v>13159548.113380177</v>
      </c>
      <c r="D73" s="3">
        <f t="shared" si="0"/>
        <v>8288054.536298161</v>
      </c>
      <c r="F73" s="27">
        <f t="shared" si="1"/>
        <v>103287478.9617904</v>
      </c>
      <c r="H73" s="42">
        <f t="shared" si="2"/>
        <v>-605076.5362981614</v>
      </c>
      <c r="N73" s="35"/>
      <c r="R73" s="27"/>
    </row>
    <row r="74" spans="2:14" ht="17.25">
      <c r="B74" s="101"/>
      <c r="N74" s="35"/>
    </row>
    <row r="75" spans="1:20" ht="17.25">
      <c r="A75" s="102" t="s">
        <v>94</v>
      </c>
      <c r="B75" s="103"/>
      <c r="D75" s="3"/>
      <c r="H75" s="3"/>
      <c r="J75" s="3"/>
      <c r="L75" s="3"/>
      <c r="N75" s="6"/>
      <c r="O75" s="2"/>
      <c r="P75" s="3"/>
      <c r="Q75" s="2"/>
      <c r="R75" s="3"/>
      <c r="S75" s="60"/>
      <c r="T75" s="40"/>
    </row>
    <row r="76" spans="1:16" ht="17.25">
      <c r="A76" s="1" t="s">
        <v>95</v>
      </c>
      <c r="B76" s="3"/>
      <c r="D76" s="3"/>
      <c r="F76" s="104"/>
      <c r="H76" s="3"/>
      <c r="J76" s="3"/>
      <c r="L76" s="3"/>
      <c r="N76" s="103"/>
      <c r="P76" s="103"/>
    </row>
    <row r="77" spans="1:16" ht="17.25">
      <c r="A77" s="1" t="s">
        <v>96</v>
      </c>
      <c r="B77" s="3"/>
      <c r="D77" s="3"/>
      <c r="F77" s="104"/>
      <c r="H77" s="3"/>
      <c r="J77" s="3"/>
      <c r="L77" s="3"/>
      <c r="N77" s="103"/>
      <c r="P77" s="103"/>
    </row>
    <row r="78" spans="1:16" ht="17.25">
      <c r="A78" s="1" t="s">
        <v>97</v>
      </c>
      <c r="B78" s="3"/>
      <c r="D78" s="3"/>
      <c r="F78" s="104"/>
      <c r="H78" s="3"/>
      <c r="J78" s="3"/>
      <c r="L78" s="3"/>
      <c r="N78" s="103"/>
      <c r="P78" s="103"/>
    </row>
    <row r="79" spans="1:16" ht="17.25">
      <c r="A79" s="1" t="s">
        <v>98</v>
      </c>
      <c r="B79" s="3"/>
      <c r="D79" s="3"/>
      <c r="F79" s="104"/>
      <c r="H79" s="3"/>
      <c r="J79" s="3"/>
      <c r="L79" s="3"/>
      <c r="N79" s="103"/>
      <c r="P79" s="103"/>
    </row>
    <row r="80" spans="1:16" ht="17.25">
      <c r="A80" s="1" t="s">
        <v>99</v>
      </c>
      <c r="B80" s="3"/>
      <c r="D80" s="3"/>
      <c r="F80" s="104"/>
      <c r="H80" s="3"/>
      <c r="J80" s="3"/>
      <c r="L80" s="3"/>
      <c r="N80" s="103"/>
      <c r="P80" s="103"/>
    </row>
    <row r="81" spans="1:16" ht="17.25">
      <c r="A81" s="33" t="s">
        <v>100</v>
      </c>
      <c r="B81" s="3"/>
      <c r="D81" s="3"/>
      <c r="F81" s="104"/>
      <c r="H81" s="3"/>
      <c r="J81" s="3"/>
      <c r="L81" s="3"/>
      <c r="N81" s="103"/>
      <c r="P81" s="103"/>
    </row>
    <row r="82" spans="1:16" ht="17.25">
      <c r="A82" s="1" t="s">
        <v>101</v>
      </c>
      <c r="B82" s="3"/>
      <c r="D82" s="3"/>
      <c r="F82" s="104"/>
      <c r="H82" s="3"/>
      <c r="J82" s="3"/>
      <c r="L82" s="3"/>
      <c r="N82" s="103"/>
      <c r="P82" s="103"/>
    </row>
    <row r="83" spans="1:16" ht="17.25">
      <c r="A83" s="1" t="s">
        <v>102</v>
      </c>
      <c r="B83" s="103"/>
      <c r="D83" s="3"/>
      <c r="F83" s="105"/>
      <c r="H83" s="3"/>
      <c r="J83" s="3"/>
      <c r="L83" s="3"/>
      <c r="N83" s="103"/>
      <c r="P83" s="103"/>
    </row>
    <row r="84" spans="1:16" ht="17.25">
      <c r="A84" s="1" t="s">
        <v>103</v>
      </c>
      <c r="B84" s="103"/>
      <c r="D84" s="3"/>
      <c r="F84" s="105"/>
      <c r="H84" s="3"/>
      <c r="J84" s="3"/>
      <c r="L84" s="3"/>
      <c r="N84" s="103"/>
      <c r="P84" s="103"/>
    </row>
    <row r="85" spans="1:16" ht="17.25">
      <c r="A85" s="33" t="s">
        <v>104</v>
      </c>
      <c r="B85" s="103"/>
      <c r="D85" s="3"/>
      <c r="F85" s="105"/>
      <c r="H85" s="3"/>
      <c r="J85" s="3"/>
      <c r="L85" s="3"/>
      <c r="N85" s="103"/>
      <c r="P85" s="103"/>
    </row>
    <row r="86" spans="1:16" ht="17.25">
      <c r="A86" s="1" t="s">
        <v>105</v>
      </c>
      <c r="B86" s="103"/>
      <c r="D86" s="3"/>
      <c r="F86" s="105"/>
      <c r="H86" s="3"/>
      <c r="J86" s="3"/>
      <c r="L86" s="3"/>
      <c r="N86" s="103"/>
      <c r="P86" s="103"/>
    </row>
    <row r="87" spans="1:16" ht="17.25">
      <c r="A87" s="1" t="s">
        <v>106</v>
      </c>
      <c r="B87" s="103"/>
      <c r="D87" s="3"/>
      <c r="F87" s="105"/>
      <c r="H87" s="3"/>
      <c r="J87" s="3"/>
      <c r="L87" s="3"/>
      <c r="N87" s="103"/>
      <c r="P87" s="103"/>
    </row>
    <row r="88" spans="1:16" ht="17.25">
      <c r="A88" s="1" t="s">
        <v>152</v>
      </c>
      <c r="B88" s="103"/>
      <c r="D88" s="3"/>
      <c r="F88" s="105"/>
      <c r="H88" s="3"/>
      <c r="J88" s="3"/>
      <c r="L88" s="3"/>
      <c r="N88" s="103"/>
      <c r="P88" s="103"/>
    </row>
    <row r="89" spans="1:16" ht="18">
      <c r="A89" s="106" t="s">
        <v>107</v>
      </c>
      <c r="B89" s="103"/>
      <c r="D89" s="3"/>
      <c r="F89" s="105"/>
      <c r="H89" s="3"/>
      <c r="J89" s="3"/>
      <c r="L89" s="3"/>
      <c r="N89" s="103"/>
      <c r="P89" s="103"/>
    </row>
    <row r="90" spans="1:16" ht="18">
      <c r="A90" s="106" t="s">
        <v>108</v>
      </c>
      <c r="B90" s="103"/>
      <c r="D90" s="3"/>
      <c r="F90" s="105"/>
      <c r="H90" s="3"/>
      <c r="J90" s="3"/>
      <c r="L90" s="3"/>
      <c r="N90" s="103"/>
      <c r="P90" s="103"/>
    </row>
    <row r="91" spans="1:16" ht="18">
      <c r="A91" s="106" t="s">
        <v>109</v>
      </c>
      <c r="B91" s="103"/>
      <c r="D91" s="3"/>
      <c r="F91" s="105"/>
      <c r="H91" s="3"/>
      <c r="J91" s="3"/>
      <c r="L91" s="3"/>
      <c r="N91" s="103"/>
      <c r="P91" s="103"/>
    </row>
    <row r="92" spans="1:16" ht="17.25">
      <c r="A92" s="1" t="s">
        <v>110</v>
      </c>
      <c r="D92" s="3"/>
      <c r="F92" s="105"/>
      <c r="H92" s="3"/>
      <c r="J92" s="3"/>
      <c r="L92" s="3"/>
      <c r="N92" s="103"/>
      <c r="P92" s="103"/>
    </row>
    <row r="93" spans="1:16" ht="17.25">
      <c r="A93" s="1" t="s">
        <v>111</v>
      </c>
      <c r="B93" s="103"/>
      <c r="D93" s="3"/>
      <c r="H93" s="3"/>
      <c r="J93" s="3"/>
      <c r="L93" s="3"/>
      <c r="N93" s="103"/>
      <c r="P93" s="103"/>
    </row>
    <row r="94" spans="1:16" ht="17.25">
      <c r="A94" s="1" t="s">
        <v>112</v>
      </c>
      <c r="B94" s="103"/>
      <c r="D94" s="3"/>
      <c r="H94" s="3"/>
      <c r="J94" s="3"/>
      <c r="L94" s="3"/>
      <c r="N94" s="103"/>
      <c r="P94" s="103"/>
    </row>
    <row r="95" spans="1:16" ht="17.25">
      <c r="A95" s="1" t="s">
        <v>113</v>
      </c>
      <c r="B95" s="103"/>
      <c r="D95" s="3"/>
      <c r="H95" s="3"/>
      <c r="J95" s="3"/>
      <c r="L95" s="3"/>
      <c r="N95" s="103"/>
      <c r="P95" s="103"/>
    </row>
    <row r="96" spans="1:16" ht="15.75" customHeight="1">
      <c r="A96" s="1" t="s">
        <v>114</v>
      </c>
      <c r="B96" s="103"/>
      <c r="D96" s="3"/>
      <c r="H96" s="3"/>
      <c r="J96" s="3"/>
      <c r="L96" s="3"/>
      <c r="N96" s="103"/>
      <c r="P96" s="103"/>
    </row>
    <row r="97" spans="1:16" ht="18" customHeight="1">
      <c r="A97" s="107" t="s">
        <v>115</v>
      </c>
      <c r="B97" s="103"/>
      <c r="D97" s="3"/>
      <c r="H97" s="3"/>
      <c r="J97" s="3"/>
      <c r="L97" s="3"/>
      <c r="N97" s="103"/>
      <c r="P97" s="103"/>
    </row>
    <row r="98" spans="1:16" ht="17.25">
      <c r="A98" s="1" t="s">
        <v>116</v>
      </c>
      <c r="B98" s="103"/>
      <c r="D98" s="3"/>
      <c r="H98" s="3"/>
      <c r="J98" s="3"/>
      <c r="L98" s="3"/>
      <c r="N98" s="103"/>
      <c r="P98" s="103"/>
    </row>
    <row r="99" spans="1:16" ht="17.25">
      <c r="A99" t="s">
        <v>117</v>
      </c>
      <c r="B99" s="103"/>
      <c r="D99" s="3"/>
      <c r="H99" s="3"/>
      <c r="J99" s="3"/>
      <c r="L99" s="3"/>
      <c r="N99" s="103"/>
      <c r="P99" s="103"/>
    </row>
    <row r="100" spans="1:16" ht="17.25">
      <c r="A100" t="s">
        <v>118</v>
      </c>
      <c r="B100" s="103"/>
      <c r="D100" s="3"/>
      <c r="H100" s="3"/>
      <c r="J100" s="3"/>
      <c r="L100" s="3"/>
      <c r="N100" s="103"/>
      <c r="P100" s="103"/>
    </row>
    <row r="101" spans="1:16" ht="17.25">
      <c r="A101" s="1" t="s">
        <v>119</v>
      </c>
      <c r="B101" s="103"/>
      <c r="D101" s="3"/>
      <c r="H101" s="3"/>
      <c r="J101" s="3"/>
      <c r="L101" s="3"/>
      <c r="N101" s="103"/>
      <c r="P101" s="103"/>
    </row>
    <row r="102" spans="1:16" ht="17.25">
      <c r="A102" s="1" t="s">
        <v>120</v>
      </c>
      <c r="B102" s="103"/>
      <c r="D102" s="3"/>
      <c r="H102" s="3"/>
      <c r="J102" s="3"/>
      <c r="L102" s="3"/>
      <c r="N102" s="103"/>
      <c r="P102" s="103"/>
    </row>
    <row r="103" spans="1:256" s="2" customFormat="1" ht="17.25">
      <c r="A103" s="1" t="s">
        <v>121</v>
      </c>
      <c r="B103" s="103"/>
      <c r="C103" s="1"/>
      <c r="D103" s="3"/>
      <c r="E103" s="1"/>
      <c r="F103" s="3"/>
      <c r="G103" s="4"/>
      <c r="H103" s="3"/>
      <c r="I103" s="1"/>
      <c r="J103" s="3"/>
      <c r="K103" s="1"/>
      <c r="L103" s="3"/>
      <c r="M103" s="1"/>
      <c r="N103" s="103"/>
      <c r="O103" s="1"/>
      <c r="P103" s="103"/>
      <c r="Q103" s="5"/>
      <c r="R103"/>
      <c r="S103" s="5"/>
      <c r="T103" s="6"/>
      <c r="U103" s="1"/>
      <c r="IU103" s="60"/>
      <c r="IV103" s="60"/>
    </row>
    <row r="104" spans="1:21" ht="17.25">
      <c r="A104" s="1" t="s">
        <v>122</v>
      </c>
      <c r="B104" s="3"/>
      <c r="C104" s="4"/>
      <c r="D104" s="3"/>
      <c r="E104" s="4"/>
      <c r="H104" s="3"/>
      <c r="I104" s="4"/>
      <c r="J104" s="3"/>
      <c r="K104" s="4"/>
      <c r="L104" s="3"/>
      <c r="M104" s="4"/>
      <c r="N104" s="3"/>
      <c r="O104" s="4"/>
      <c r="P104" s="3"/>
      <c r="Q104" s="61"/>
      <c r="R104" s="2"/>
      <c r="S104" s="61"/>
      <c r="T104" s="60"/>
      <c r="U104" s="4"/>
    </row>
    <row r="105" spans="1:16" ht="17.25">
      <c r="A105" s="1" t="s">
        <v>123</v>
      </c>
      <c r="B105" s="103"/>
      <c r="D105" s="3"/>
      <c r="H105" s="3"/>
      <c r="J105" s="3"/>
      <c r="L105" s="3"/>
      <c r="N105" s="103"/>
      <c r="P105" s="103"/>
    </row>
    <row r="106" spans="1:16" ht="17.25">
      <c r="A106" s="1" t="s">
        <v>124</v>
      </c>
      <c r="B106" s="103"/>
      <c r="D106" s="3"/>
      <c r="H106" s="3"/>
      <c r="J106" s="3"/>
      <c r="L106" s="3"/>
      <c r="N106" s="103"/>
      <c r="P106" s="103"/>
    </row>
    <row r="107" spans="1:16" ht="17.25">
      <c r="A107" s="108" t="s">
        <v>125</v>
      </c>
      <c r="B107" s="103"/>
      <c r="D107" s="3"/>
      <c r="H107" s="3"/>
      <c r="J107" s="3"/>
      <c r="L107" s="3"/>
      <c r="N107" s="103"/>
      <c r="P107" s="103"/>
    </row>
    <row r="108" spans="1:16" ht="17.25">
      <c r="A108" s="109" t="s">
        <v>126</v>
      </c>
      <c r="B108" s="103"/>
      <c r="D108" s="3"/>
      <c r="H108" s="3"/>
      <c r="J108" s="3"/>
      <c r="L108" s="3"/>
      <c r="N108" s="103"/>
      <c r="P108" s="103"/>
    </row>
    <row r="109" spans="1:16" ht="17.25">
      <c r="A109" s="1" t="s">
        <v>127</v>
      </c>
      <c r="B109" s="103"/>
      <c r="D109" s="3"/>
      <c r="H109" s="3"/>
      <c r="J109" s="3"/>
      <c r="L109" s="3"/>
      <c r="N109" s="103"/>
      <c r="P109" s="103"/>
    </row>
    <row r="110" spans="1:256" s="33" customFormat="1" ht="14.25">
      <c r="A110" s="33" t="s">
        <v>128</v>
      </c>
      <c r="B110" s="110"/>
      <c r="C110" s="109"/>
      <c r="D110" s="111"/>
      <c r="E110" s="109"/>
      <c r="F110" s="111"/>
      <c r="G110" s="112"/>
      <c r="H110" s="111"/>
      <c r="I110" s="109"/>
      <c r="J110" s="111"/>
      <c r="K110" s="109"/>
      <c r="L110" s="111"/>
      <c r="M110" s="109"/>
      <c r="N110" s="110"/>
      <c r="O110" s="109"/>
      <c r="P110" s="110"/>
      <c r="Q110" s="113"/>
      <c r="S110" s="113"/>
      <c r="T110" s="34"/>
      <c r="U110" s="109"/>
      <c r="IU110" s="34"/>
      <c r="IV110" s="34"/>
    </row>
    <row r="111" spans="1:16" ht="17.25">
      <c r="A111" s="33" t="s">
        <v>129</v>
      </c>
      <c r="B111" s="103"/>
      <c r="D111" s="3"/>
      <c r="H111" s="3"/>
      <c r="J111" s="3"/>
      <c r="L111" s="3"/>
      <c r="N111" s="103"/>
      <c r="P111" s="103"/>
    </row>
    <row r="112" spans="1:16" ht="17.25">
      <c r="A112" s="1" t="s">
        <v>130</v>
      </c>
      <c r="B112" s="103"/>
      <c r="D112" s="3"/>
      <c r="H112" s="3"/>
      <c r="J112" s="3"/>
      <c r="L112" s="3"/>
      <c r="N112" s="103"/>
      <c r="P112" s="103"/>
    </row>
    <row r="113" spans="1:16" ht="17.25">
      <c r="A113" s="33" t="s">
        <v>131</v>
      </c>
      <c r="B113" s="103"/>
      <c r="D113" s="3"/>
      <c r="H113" s="3"/>
      <c r="J113" s="3"/>
      <c r="L113" s="3"/>
      <c r="N113" s="103"/>
      <c r="P113" s="103"/>
    </row>
    <row r="114" spans="1:16" ht="17.25">
      <c r="A114" s="1" t="s">
        <v>132</v>
      </c>
      <c r="B114" s="103"/>
      <c r="D114" s="3"/>
      <c r="H114" s="3"/>
      <c r="J114" s="3"/>
      <c r="L114" s="3"/>
      <c r="N114" s="103"/>
      <c r="P114" s="103"/>
    </row>
    <row r="115" spans="1:16" ht="17.25">
      <c r="A115" s="1" t="s">
        <v>133</v>
      </c>
      <c r="B115" s="103"/>
      <c r="D115" s="3"/>
      <c r="H115" s="3"/>
      <c r="J115" s="3"/>
      <c r="L115" s="3"/>
      <c r="N115" s="103"/>
      <c r="P115" s="103"/>
    </row>
    <row r="116" spans="1:16" ht="17.25">
      <c r="A116" s="33" t="s">
        <v>134</v>
      </c>
      <c r="B116" s="103"/>
      <c r="D116" s="3"/>
      <c r="H116" s="3"/>
      <c r="J116" s="3"/>
      <c r="L116" s="3"/>
      <c r="N116" s="103"/>
      <c r="P116" s="103"/>
    </row>
    <row r="117" spans="1:16" ht="17.25">
      <c r="A117" s="1" t="s">
        <v>135</v>
      </c>
      <c r="B117" s="103"/>
      <c r="D117" s="3"/>
      <c r="H117" s="3"/>
      <c r="J117" s="3"/>
      <c r="L117" s="3"/>
      <c r="N117" s="103"/>
      <c r="P117" s="103"/>
    </row>
    <row r="118" ht="17.25">
      <c r="A118" s="1" t="s">
        <v>136</v>
      </c>
    </row>
    <row r="119" ht="17.25">
      <c r="A119" s="1" t="s">
        <v>137</v>
      </c>
    </row>
    <row r="120" ht="17.25">
      <c r="A120" s="1" t="s">
        <v>138</v>
      </c>
    </row>
    <row r="121" ht="17.25">
      <c r="A121" s="1"/>
    </row>
  </sheetData>
  <printOptions horizontalCentered="1"/>
  <pageMargins left="0.5" right="0.5" top="0.3" bottom="0.4" header="0.17" footer="0.2"/>
  <pageSetup horizontalDpi="600" verticalDpi="600" orientation="landscape" paperSize="17" scale="73" r:id="rId1"/>
  <headerFooter alignWithMargins="0">
    <oddHeader>&amp;C&amp;"Arial,Bold"&amp;12Conservation Futures Levy Financial Plan
2003 Revised</oddHeader>
    <oddFooter>&amp;R&amp;8 2003 CFT Revisedl
Page &amp;P of &amp;N
&amp;D  &amp;T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H14" sqref="H14"/>
    </sheetView>
  </sheetViews>
  <sheetFormatPr defaultColWidth="9.140625" defaultRowHeight="12.75"/>
  <cols>
    <col min="1" max="1" width="15.57421875" style="117" customWidth="1"/>
    <col min="2" max="2" width="9.00390625" style="117" bestFit="1" customWidth="1"/>
    <col min="3" max="3" width="12.8515625" style="117" bestFit="1" customWidth="1"/>
    <col min="4" max="16384" width="9.140625" style="117" customWidth="1"/>
  </cols>
  <sheetData>
    <row r="1" spans="1:2" ht="12.75">
      <c r="A1" s="114" t="s">
        <v>139</v>
      </c>
      <c r="B1" s="115"/>
    </row>
    <row r="2" spans="1:2" ht="12.75">
      <c r="A2" s="103"/>
      <c r="B2"/>
    </row>
    <row r="3" spans="1:2" ht="12.75">
      <c r="A3" s="118">
        <v>7000000</v>
      </c>
      <c r="B3" t="s">
        <v>140</v>
      </c>
    </row>
    <row r="4" spans="1:2" ht="12.75">
      <c r="A4" s="118">
        <v>-1000000</v>
      </c>
      <c r="B4" t="s">
        <v>141</v>
      </c>
    </row>
    <row r="5" spans="1:2" ht="12.75">
      <c r="A5" s="119">
        <f>'[2]jw_interest'!D45</f>
        <v>527151.8770227031</v>
      </c>
      <c r="B5" t="s">
        <v>142</v>
      </c>
    </row>
    <row r="6" spans="1:2" ht="13.5" thickBot="1">
      <c r="A6" s="120">
        <v>80000</v>
      </c>
      <c r="B6" t="s">
        <v>143</v>
      </c>
    </row>
    <row r="7" spans="1:2" ht="12.75">
      <c r="A7" s="118">
        <f>SUM(A3:A6)</f>
        <v>6607151.877022703</v>
      </c>
      <c r="B7" t="s">
        <v>144</v>
      </c>
    </row>
    <row r="8" spans="1:2" ht="13.5" thickBot="1">
      <c r="A8" s="120">
        <v>-100000</v>
      </c>
      <c r="B8" t="s">
        <v>145</v>
      </c>
    </row>
    <row r="9" spans="1:2" ht="12.75">
      <c r="A9" s="118">
        <f>SUM(A7:A8)</f>
        <v>6507151.877022703</v>
      </c>
      <c r="B9" t="s">
        <v>146</v>
      </c>
    </row>
    <row r="10" spans="1:2" ht="13.5" thickBot="1">
      <c r="A10" s="120">
        <v>-200000</v>
      </c>
      <c r="B10" t="s">
        <v>147</v>
      </c>
    </row>
    <row r="11" spans="1:2" ht="12.75">
      <c r="A11" s="118">
        <f>SUM(A9:A10)</f>
        <v>6307151.877022703</v>
      </c>
      <c r="B11" t="s">
        <v>148</v>
      </c>
    </row>
    <row r="12" spans="1:2" ht="13.5" thickBot="1">
      <c r="A12" s="121">
        <f>A11*0.01</f>
        <v>63071.518770227034</v>
      </c>
      <c r="B12" s="2" t="s">
        <v>149</v>
      </c>
    </row>
    <row r="13" spans="1:2" ht="12.75">
      <c r="A13" s="122">
        <f>SUM(A11:A12)</f>
        <v>6370223.39579293</v>
      </c>
      <c r="B13" s="2" t="s">
        <v>150</v>
      </c>
    </row>
    <row r="14" spans="1:2" ht="12.75">
      <c r="A14" s="103"/>
      <c r="B14"/>
    </row>
    <row r="15" spans="1:2" ht="12.75">
      <c r="A15" s="116">
        <f>PMT(0.055,20,A13)</f>
        <v>-533056.0259328096</v>
      </c>
      <c r="B15" t="s">
        <v>151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H. Broz</dc:creator>
  <cp:keywords/>
  <dc:description/>
  <cp:lastModifiedBy>Angel Allende-Foss</cp:lastModifiedBy>
  <cp:lastPrinted>2003-11-24T17:54:08Z</cp:lastPrinted>
  <dcterms:created xsi:type="dcterms:W3CDTF">2003-11-19T22:49:39Z</dcterms:created>
  <dcterms:modified xsi:type="dcterms:W3CDTF">2003-11-24T17:54:59Z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1767593404</vt:i4>
  </property>
  <property fmtid="{D5CDD505-2E9C-101B-9397-08002B2CF9AE}" pid="3" name="_EmailSubject">
    <vt:lpwstr>CFT fp - Juanita Woodlands.xls</vt:lpwstr>
  </property>
  <property fmtid="{D5CDD505-2E9C-101B-9397-08002B2CF9AE}" pid="4" name="_AuthorEmail">
    <vt:lpwstr>Stephen.Broz@METROKC.GOV</vt:lpwstr>
  </property>
  <property fmtid="{D5CDD505-2E9C-101B-9397-08002B2CF9AE}" pid="5" name="_AuthorEmailDisplayName">
    <vt:lpwstr>Broz, Stephen</vt:lpwstr>
  </property>
  <property fmtid="{D5CDD505-2E9C-101B-9397-08002B2CF9AE}" pid="6" name="_ReviewingToolsShownOnce">
    <vt:lpwstr/>
  </property>
</Properties>
</file>