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7425" activeTab="0"/>
  </bookViews>
  <sheets>
    <sheet name="LFGTE fin'l plan" sheetId="1" r:id="rId1"/>
    <sheet name="Sheet2" sheetId="2" r:id="rId2"/>
    <sheet name="Sheet3" sheetId="3" r:id="rId3"/>
  </sheets>
  <definedNames>
    <definedName name="_xlnm.Print_Area" localSheetId="0">'LFGTE fin''l plan'!$A$1:$G$63</definedName>
  </definedNames>
  <calcPr fullCalcOnLoad="1"/>
</workbook>
</file>

<file path=xl/sharedStrings.xml><?xml version="1.0" encoding="utf-8"?>
<sst xmlns="http://schemas.openxmlformats.org/spreadsheetml/2006/main" count="70" uniqueCount="70">
  <si>
    <t>Solid Waste Division</t>
  </si>
  <si>
    <t>Beginning Fund Balance</t>
  </si>
  <si>
    <t xml:space="preserve">Revenues </t>
  </si>
  <si>
    <t>* Grants</t>
  </si>
  <si>
    <t>* DNRP Administration (0381)</t>
  </si>
  <si>
    <t>Total Revenues</t>
  </si>
  <si>
    <t xml:space="preserve">Expenditures </t>
  </si>
  <si>
    <t>* Landfill Reserve Fund Transfer</t>
  </si>
  <si>
    <t>* Debt Service - Existing Facilities</t>
  </si>
  <si>
    <t>* Rent, Cedar Hills Landfill</t>
  </si>
  <si>
    <t>* Expenditures from Prior Year Carryover</t>
  </si>
  <si>
    <t>Total Expenditures</t>
  </si>
  <si>
    <t>Other Fund Transactions</t>
  </si>
  <si>
    <t>*</t>
  </si>
  <si>
    <t>Total Other Fund Transactions</t>
  </si>
  <si>
    <t>Ending Fund Balance</t>
  </si>
  <si>
    <t>Reserves &amp; Designations</t>
  </si>
  <si>
    <t>* Encumbrance Carryovers - SWD</t>
  </si>
  <si>
    <t>* Encumbrance Carryovers - DNRP Admin 0381</t>
  </si>
  <si>
    <t>* Unencumbered Carryovers - SWD</t>
  </si>
  <si>
    <t>Total Reserves &amp; Designations</t>
  </si>
  <si>
    <t>Ending Undesignated Fund Balance</t>
  </si>
  <si>
    <t>Financial Plan Notes:</t>
  </si>
  <si>
    <t>* Moderate Risk Waste (MRW)</t>
  </si>
  <si>
    <t>* Recycling Revenues (excluding MRW)</t>
  </si>
  <si>
    <t>* Interest Earnings</t>
  </si>
  <si>
    <t>* DNRP Administration 0381</t>
  </si>
  <si>
    <t xml:space="preserve">   the Basic Fee of $95.00 per ton effective January 1, 2008.  Other rate changes are incorporated.</t>
  </si>
  <si>
    <t xml:space="preserve">    significantly improve current operations and facilitate an efficient transition to waste export.</t>
  </si>
  <si>
    <t xml:space="preserve">   tonnage at transfer stations resulting from the increase in the regional direct fee to $69.50 per ton.  Disposal fee projections assume a rate increase to</t>
  </si>
  <si>
    <r>
      <t>2009 Projected</t>
    </r>
    <r>
      <rPr>
        <b/>
        <vertAlign val="superscript"/>
        <sz val="12"/>
        <rFont val="Times New Roman"/>
        <family val="1"/>
      </rPr>
      <t>3</t>
    </r>
  </si>
  <si>
    <r>
      <t>2008 Projected</t>
    </r>
    <r>
      <rPr>
        <b/>
        <vertAlign val="superscript"/>
        <sz val="12"/>
        <rFont val="Times New Roman"/>
        <family val="1"/>
      </rPr>
      <t>3</t>
    </r>
  </si>
  <si>
    <t>Financial Plan</t>
  </si>
  <si>
    <r>
      <t>Tipping Fee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(Price per Ton)</t>
    </r>
  </si>
  <si>
    <t xml:space="preserve">    practice, no under-expenditure was assumed in rate calculations for outyears.</t>
  </si>
  <si>
    <r>
      <t>2006    Actual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</si>
  <si>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  2006 Actuals are from the preliminary 2006 CAFR and the 14th Month ARMS report.</t>
    </r>
  </si>
  <si>
    <t>2007 Adopted</t>
  </si>
  <si>
    <r>
      <t>2007 Estimated</t>
    </r>
    <r>
      <rPr>
        <b/>
        <vertAlign val="superscript"/>
        <sz val="12"/>
        <rFont val="Times New Roman"/>
        <family val="1"/>
      </rPr>
      <t>2</t>
    </r>
  </si>
  <si>
    <t>*Council Proviso; Ord. #15652; Sec. 92; P2</t>
  </si>
  <si>
    <r>
      <t>3</t>
    </r>
    <r>
      <rPr>
        <sz val="10"/>
        <rFont val="Times New Roman"/>
        <family val="1"/>
      </rPr>
      <t xml:space="preserve">   2008, 2009, and 2010 Projected are based on 3% inflation when better projections were not available.  </t>
    </r>
  </si>
  <si>
    <r>
      <t>2010 Projected</t>
    </r>
    <r>
      <rPr>
        <b/>
        <vertAlign val="superscript"/>
        <sz val="12"/>
        <rFont val="Times New Roman"/>
        <family val="1"/>
      </rPr>
      <t>3</t>
    </r>
  </si>
  <si>
    <t>* Host City Mitigation</t>
  </si>
  <si>
    <r>
      <t xml:space="preserve">4 </t>
    </r>
    <r>
      <rPr>
        <sz val="10"/>
        <rFont val="Times New Roman"/>
        <family val="1"/>
      </rPr>
      <t xml:space="preserve">  2007 Estimated assumes no change to tonnage of 1,052,300 tons projected.</t>
    </r>
  </si>
  <si>
    <r>
      <t xml:space="preserve">2 </t>
    </r>
    <r>
      <rPr>
        <sz val="10"/>
        <rFont val="Times New Roman"/>
        <family val="1"/>
      </rPr>
      <t xml:space="preserve">  2007 Estimated are based on preliminary estimates from Solid Waste Division.</t>
    </r>
  </si>
  <si>
    <r>
      <t xml:space="preserve">5  </t>
    </r>
    <r>
      <rPr>
        <sz val="10"/>
        <rFont val="Times New Roman"/>
        <family val="1"/>
      </rPr>
      <t xml:space="preserve"> Revenue is based on the Solid Waste Division's June 2006 long-term tonnage forecast.  Projections are currently underway.  Forecast disposal is 1,017,000 tons in 2007,</t>
    </r>
  </si>
  <si>
    <t xml:space="preserve">   1,052,300 tons in 2008, and 1,083,869 in 2009.  Tonnage assumptions in 2006 and 2007 assume lost revenue during construction of the First Northeast  Transfer Station.</t>
  </si>
  <si>
    <t>2007e</t>
  </si>
  <si>
    <t>Tom</t>
  </si>
  <si>
    <t>D.O.</t>
  </si>
  <si>
    <t>Total</t>
  </si>
  <si>
    <t>less c/o</t>
  </si>
  <si>
    <r>
      <t>* Net Disposal Fees</t>
    </r>
    <r>
      <rPr>
        <vertAlign val="superscript"/>
        <sz val="12"/>
        <rFont val="Times New Roman"/>
        <family val="1"/>
      </rPr>
      <t>4,5,8</t>
    </r>
  </si>
  <si>
    <r>
      <t>* Solid Waste Division</t>
    </r>
    <r>
      <rPr>
        <vertAlign val="superscript"/>
        <sz val="12"/>
        <rFont val="Times New Roman"/>
        <family val="1"/>
      </rPr>
      <t>8</t>
    </r>
  </si>
  <si>
    <r>
      <t>* CERP Fund Transfer, Appropriation</t>
    </r>
    <r>
      <rPr>
        <vertAlign val="superscript"/>
        <sz val="12"/>
        <rFont val="Times New Roman"/>
        <family val="1"/>
      </rPr>
      <t>9</t>
    </r>
  </si>
  <si>
    <r>
      <t>* Other</t>
    </r>
    <r>
      <rPr>
        <vertAlign val="superscript"/>
        <sz val="12"/>
        <rFont val="Times New Roman"/>
        <family val="1"/>
      </rPr>
      <t>7</t>
    </r>
  </si>
  <si>
    <r>
      <t>* Landfill Gas to Energy</t>
    </r>
    <r>
      <rPr>
        <vertAlign val="superscript"/>
        <sz val="12"/>
        <rFont val="Times New Roman"/>
        <family val="1"/>
      </rPr>
      <t>6</t>
    </r>
  </si>
  <si>
    <r>
      <t>* Debt Service - New Facilities</t>
    </r>
    <r>
      <rPr>
        <vertAlign val="superscript"/>
        <sz val="12"/>
        <rFont val="Times New Roman"/>
        <family val="1"/>
      </rPr>
      <t>10</t>
    </r>
  </si>
  <si>
    <r>
      <t>* Construction Fund Transfer</t>
    </r>
    <r>
      <rPr>
        <vertAlign val="superscript"/>
        <sz val="12"/>
        <rFont val="Times New Roman"/>
        <family val="1"/>
      </rPr>
      <t>11</t>
    </r>
  </si>
  <si>
    <r>
      <t>Estimated Underexpenditures</t>
    </r>
    <r>
      <rPr>
        <b/>
        <vertAlign val="superscript"/>
        <sz val="12"/>
        <rFont val="Times New Roman"/>
        <family val="1"/>
      </rPr>
      <t>12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</si>
  <si>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13</t>
    </r>
  </si>
  <si>
    <r>
      <t>13</t>
    </r>
    <r>
      <rPr>
        <sz val="10"/>
        <rFont val="Times New Roman"/>
        <family val="1"/>
      </rPr>
      <t xml:space="preserve"> Minimum fund balance target based on 45-day cash reserve policy (SWD operating expenditures x 45/360).</t>
    </r>
  </si>
  <si>
    <r>
      <t>12</t>
    </r>
    <r>
      <rPr>
        <sz val="10"/>
        <rFont val="Times New Roman"/>
        <family val="1"/>
      </rPr>
      <t xml:space="preserve"> Assumed under-expenditures equal 3% of Solid Waste Division operating expenditures, excluding grant funded expenditures.  Consistent with Solid Waste Division </t>
    </r>
  </si>
  <si>
    <r>
      <t xml:space="preserve">11  </t>
    </r>
    <r>
      <rPr>
        <sz val="10"/>
        <rFont val="Times New Roman"/>
        <family val="1"/>
      </rPr>
      <t xml:space="preserve">This a scheduled transfer to provide the Construction Fund, 3901, with necessary resources to fund transfer station capital upgrades which will </t>
    </r>
  </si>
  <si>
    <r>
      <t xml:space="preserve">10  </t>
    </r>
    <r>
      <rPr>
        <sz val="10"/>
        <rFont val="Times New Roman"/>
        <family val="1"/>
      </rPr>
      <t>The new debt service expenditures are anticipated to cover bond issuances anticipated in 2007.</t>
    </r>
  </si>
  <si>
    <r>
      <t>9</t>
    </r>
    <r>
      <rPr>
        <sz val="10"/>
        <rFont val="Times New Roman"/>
        <family val="1"/>
      </rPr>
      <t xml:space="preserve">  Based on CERP policy to maintain sinking fund contribution for equipment replacement.</t>
    </r>
  </si>
  <si>
    <r>
      <t xml:space="preserve">8 </t>
    </r>
    <r>
      <rPr>
        <sz val="10"/>
        <rFont val="Times New Roman"/>
        <family val="1"/>
      </rPr>
      <t xml:space="preserve"> 2006-2010 expenditures reflect savings developed for the Solid Waste Change Initiative.  2007-2010 expenditures also include costs to handle increased</t>
    </r>
  </si>
  <si>
    <r>
      <t xml:space="preserve">7 </t>
    </r>
    <r>
      <rPr>
        <sz val="10"/>
        <rFont val="Times New Roman"/>
        <family val="1"/>
      </rPr>
      <t xml:space="preserve"> Other Revenue is comprised of intra-county contributions and other miscellaneous revenues.</t>
    </r>
  </si>
  <si>
    <r>
      <t>6</t>
    </r>
    <r>
      <rPr>
        <sz val="10"/>
        <rFont val="Times New Roman"/>
        <family val="1"/>
      </rPr>
      <t xml:space="preserve">  Revised revenues estimates based on terms of new Landfill Gas to Energy contract proposed.  There is no impact to expenditures.</t>
    </r>
  </si>
  <si>
    <t>* 2nd Qtr Omnibus Ord. - CPG Offset Grant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</si>
</sst>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_(* #,##0.0_);_(* \(#,##0.0\);_(* &quot;-&quot;??_);_(@_)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.00;#,##0.00\-"/>
    <numFmt numFmtId="171" formatCode="0.00000000"/>
    <numFmt numFmtId="172" formatCode="0.000000000"/>
    <numFmt numFmtId="173" formatCode="0.0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1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2"/>
      <color indexed="17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7" fontId="1" fillId="0" borderId="0" xfId="19" applyFont="1" applyBorder="1" applyAlignment="1">
      <alignment horizontal="centerContinuous" wrapText="1"/>
      <protection/>
    </xf>
    <xf numFmtId="38" fontId="2" fillId="0" borderId="0" xfId="19" applyNumberFormat="1" applyFont="1" applyBorder="1" applyAlignment="1">
      <alignment horizontal="centerContinuous" wrapText="1"/>
      <protection/>
    </xf>
    <xf numFmtId="38" fontId="1" fillId="0" borderId="0" xfId="19" applyNumberFormat="1" applyFont="1" applyFill="1" applyBorder="1" applyAlignment="1">
      <alignment horizontal="centerContinuous" wrapText="1"/>
      <protection/>
    </xf>
    <xf numFmtId="0" fontId="2" fillId="0" borderId="0" xfId="0" applyFont="1" applyBorder="1" applyAlignment="1">
      <alignment/>
    </xf>
    <xf numFmtId="37" fontId="2" fillId="0" borderId="0" xfId="19" applyFont="1">
      <alignment/>
      <protection/>
    </xf>
    <xf numFmtId="38" fontId="2" fillId="0" borderId="0" xfId="19" applyNumberFormat="1" applyFont="1">
      <alignment/>
      <protection/>
    </xf>
    <xf numFmtId="38" fontId="2" fillId="0" borderId="0" xfId="19" applyNumberFormat="1" applyFont="1" applyFill="1">
      <alignment/>
      <protection/>
    </xf>
    <xf numFmtId="0" fontId="2" fillId="0" borderId="0" xfId="0" applyFont="1" applyAlignment="1">
      <alignment/>
    </xf>
    <xf numFmtId="37" fontId="1" fillId="0" borderId="1" xfId="19" applyFont="1" applyBorder="1" applyAlignment="1" quotePrefix="1">
      <alignment horizontal="left"/>
      <protection/>
    </xf>
    <xf numFmtId="38" fontId="2" fillId="0" borderId="1" xfId="15" applyNumberFormat="1" applyFont="1" applyFill="1" applyBorder="1" applyAlignment="1">
      <alignment/>
    </xf>
    <xf numFmtId="37" fontId="1" fillId="0" borderId="2" xfId="19" applyFont="1" applyBorder="1" applyAlignment="1" quotePrefix="1">
      <alignment horizontal="left"/>
      <protection/>
    </xf>
    <xf numFmtId="38" fontId="2" fillId="0" borderId="3" xfId="15" applyNumberFormat="1" applyFont="1" applyFill="1" applyBorder="1" applyAlignment="1">
      <alignment/>
    </xf>
    <xf numFmtId="37" fontId="2" fillId="0" borderId="2" xfId="19" applyFont="1" applyBorder="1" applyAlignment="1">
      <alignment horizontal="left"/>
      <protection/>
    </xf>
    <xf numFmtId="38" fontId="2" fillId="0" borderId="2" xfId="15" applyNumberFormat="1" applyFont="1" applyFill="1" applyBorder="1" applyAlignment="1">
      <alignment/>
    </xf>
    <xf numFmtId="37" fontId="1" fillId="0" borderId="1" xfId="19" applyFont="1" applyBorder="1" applyAlignment="1">
      <alignment horizontal="left"/>
      <protection/>
    </xf>
    <xf numFmtId="38" fontId="2" fillId="0" borderId="1" xfId="15" applyNumberFormat="1" applyFont="1" applyFill="1" applyBorder="1" applyAlignment="1">
      <alignment/>
    </xf>
    <xf numFmtId="38" fontId="2" fillId="0" borderId="4" xfId="15" applyNumberFormat="1" applyFont="1" applyFill="1" applyBorder="1" applyAlignment="1">
      <alignment/>
    </xf>
    <xf numFmtId="0" fontId="1" fillId="0" borderId="5" xfId="0" applyFont="1" applyBorder="1" applyAlignment="1">
      <alignment/>
    </xf>
    <xf numFmtId="38" fontId="2" fillId="0" borderId="6" xfId="15" applyNumberFormat="1" applyFont="1" applyFill="1" applyBorder="1" applyAlignment="1">
      <alignment/>
    </xf>
    <xf numFmtId="37" fontId="1" fillId="0" borderId="7" xfId="19" applyFont="1" applyBorder="1" applyAlignment="1">
      <alignment horizontal="left"/>
      <protection/>
    </xf>
    <xf numFmtId="38" fontId="2" fillId="0" borderId="0" xfId="15" applyNumberFormat="1" applyFont="1" applyFill="1" applyBorder="1" applyAlignment="1">
      <alignment/>
    </xf>
    <xf numFmtId="38" fontId="2" fillId="0" borderId="7" xfId="15" applyNumberFormat="1" applyFont="1" applyFill="1" applyBorder="1" applyAlignment="1">
      <alignment/>
    </xf>
    <xf numFmtId="37" fontId="1" fillId="0" borderId="5" xfId="19" applyFont="1" applyBorder="1" applyAlignment="1" quotePrefix="1">
      <alignment horizontal="left"/>
      <protection/>
    </xf>
    <xf numFmtId="38" fontId="2" fillId="0" borderId="1" xfId="0" applyNumberFormat="1" applyFont="1" applyFill="1" applyBorder="1" applyAlignment="1">
      <alignment/>
    </xf>
    <xf numFmtId="37" fontId="1" fillId="0" borderId="5" xfId="19" applyFont="1" applyBorder="1" applyAlignment="1" quotePrefix="1">
      <alignment horizontal="left"/>
      <protection/>
    </xf>
    <xf numFmtId="37" fontId="2" fillId="0" borderId="2" xfId="19" applyFont="1" applyBorder="1" applyAlignment="1" quotePrefix="1">
      <alignment horizontal="left"/>
      <protection/>
    </xf>
    <xf numFmtId="37" fontId="1" fillId="0" borderId="1" xfId="19" applyFont="1" applyBorder="1" applyAlignment="1">
      <alignment horizontal="left"/>
      <protection/>
    </xf>
    <xf numFmtId="37" fontId="2" fillId="0" borderId="0" xfId="19" applyFont="1" applyBorder="1" applyAlignment="1">
      <alignment horizontal="left"/>
      <protection/>
    </xf>
    <xf numFmtId="38" fontId="2" fillId="0" borderId="0" xfId="15" applyNumberFormat="1" applyFont="1" applyBorder="1" applyAlignment="1">
      <alignment/>
    </xf>
    <xf numFmtId="38" fontId="2" fillId="0" borderId="8" xfId="15" applyNumberFormat="1" applyFont="1" applyFill="1" applyBorder="1" applyAlignment="1">
      <alignment/>
    </xf>
    <xf numFmtId="37" fontId="1" fillId="0" borderId="9" xfId="19" applyFont="1" applyBorder="1" applyAlignment="1" quotePrefix="1">
      <alignment horizontal="left"/>
      <protection/>
    </xf>
    <xf numFmtId="38" fontId="2" fillId="0" borderId="6" xfId="15" applyNumberFormat="1" applyFont="1" applyFill="1" applyBorder="1" applyAlignment="1">
      <alignment/>
    </xf>
    <xf numFmtId="0" fontId="1" fillId="0" borderId="0" xfId="0" applyFont="1" applyAlignment="1">
      <alignment/>
    </xf>
    <xf numFmtId="37" fontId="1" fillId="0" borderId="0" xfId="19" applyFont="1" applyAlignment="1">
      <alignment horizontal="left"/>
      <protection/>
    </xf>
    <xf numFmtId="38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38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37" fontId="2" fillId="0" borderId="2" xfId="19" applyFont="1" applyFill="1" applyBorder="1" applyAlignment="1">
      <alignment horizontal="left"/>
      <protection/>
    </xf>
    <xf numFmtId="38" fontId="7" fillId="0" borderId="4" xfId="15" applyNumberFormat="1" applyFont="1" applyFill="1" applyBorder="1" applyAlignment="1">
      <alignment/>
    </xf>
    <xf numFmtId="44" fontId="8" fillId="0" borderId="2" xfId="17" applyFont="1" applyFill="1" applyBorder="1" applyAlignment="1">
      <alignment/>
    </xf>
    <xf numFmtId="37" fontId="9" fillId="0" borderId="2" xfId="19" applyFont="1" applyBorder="1" applyAlignment="1">
      <alignment horizontal="left"/>
      <protection/>
    </xf>
    <xf numFmtId="0" fontId="10" fillId="0" borderId="0" xfId="0" applyFont="1" applyAlignment="1">
      <alignment/>
    </xf>
    <xf numFmtId="38" fontId="11" fillId="0" borderId="0" xfId="19" applyNumberFormat="1" applyFont="1" applyBorder="1">
      <alignment/>
      <protection/>
    </xf>
    <xf numFmtId="38" fontId="11" fillId="0" borderId="0" xfId="0" applyNumberFormat="1" applyFont="1" applyFill="1" applyAlignment="1">
      <alignment/>
    </xf>
    <xf numFmtId="38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8" fontId="11" fillId="0" borderId="0" xfId="19" applyNumberFormat="1" applyFont="1">
      <alignment/>
      <protection/>
    </xf>
    <xf numFmtId="38" fontId="11" fillId="0" borderId="0" xfId="19" applyNumberFormat="1" applyFont="1" applyBorder="1" applyAlignment="1">
      <alignment horizontal="centerContinuous" wrapText="1"/>
      <protection/>
    </xf>
    <xf numFmtId="38" fontId="11" fillId="0" borderId="0" xfId="0" applyNumberFormat="1" applyFont="1" applyFill="1" applyAlignment="1">
      <alignment horizontal="centerContinuous" wrapText="1"/>
    </xf>
    <xf numFmtId="38" fontId="11" fillId="0" borderId="0" xfId="19" applyNumberFormat="1" applyFont="1" applyBorder="1" applyAlignment="1">
      <alignment horizontal="left" vertical="top"/>
      <protection/>
    </xf>
    <xf numFmtId="38" fontId="11" fillId="0" borderId="0" xfId="0" applyNumberFormat="1" applyFont="1" applyAlignment="1">
      <alignment horizontal="right"/>
    </xf>
    <xf numFmtId="38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2" xfId="15" applyNumberFormat="1" applyFont="1" applyFill="1" applyBorder="1" applyAlignment="1">
      <alignment/>
    </xf>
    <xf numFmtId="164" fontId="2" fillId="0" borderId="10" xfId="15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8" fontId="11" fillId="0" borderId="0" xfId="19" applyNumberFormat="1" applyFont="1" applyFill="1" applyBorder="1" applyAlignment="1">
      <alignment horizontal="left" vertical="top"/>
      <protection/>
    </xf>
    <xf numFmtId="164" fontId="2" fillId="0" borderId="0" xfId="15" applyNumberFormat="1" applyFont="1" applyAlignment="1">
      <alignment/>
    </xf>
    <xf numFmtId="38" fontId="1" fillId="0" borderId="0" xfId="0" applyNumberFormat="1" applyFont="1" applyAlignment="1">
      <alignment/>
    </xf>
    <xf numFmtId="38" fontId="2" fillId="0" borderId="0" xfId="19" applyNumberFormat="1" applyFont="1" applyFill="1" applyBorder="1" applyAlignment="1">
      <alignment horizontal="centerContinuous" wrapText="1"/>
      <protection/>
    </xf>
    <xf numFmtId="0" fontId="11" fillId="0" borderId="0" xfId="0" applyFont="1" applyFill="1" applyAlignment="1">
      <alignment/>
    </xf>
    <xf numFmtId="38" fontId="11" fillId="0" borderId="0" xfId="19" applyNumberFormat="1" applyFont="1" applyFill="1" applyBorder="1">
      <alignment/>
      <protection/>
    </xf>
    <xf numFmtId="38" fontId="11" fillId="0" borderId="0" xfId="19" applyNumberFormat="1" applyFont="1" applyFill="1" applyBorder="1" applyAlignment="1">
      <alignment horizontal="centerContinuous" wrapText="1"/>
      <protection/>
    </xf>
    <xf numFmtId="38" fontId="11" fillId="0" borderId="0" xfId="19" applyNumberFormat="1" applyFont="1" applyFill="1">
      <alignment/>
      <protection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9" fontId="2" fillId="0" borderId="0" xfId="20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164" fontId="1" fillId="0" borderId="0" xfId="2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4" fontId="8" fillId="0" borderId="0" xfId="17" applyFont="1" applyFill="1" applyBorder="1" applyAlignment="1">
      <alignment/>
    </xf>
    <xf numFmtId="38" fontId="2" fillId="0" borderId="0" xfId="15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38" fontId="2" fillId="0" borderId="0" xfId="15" applyNumberFormat="1" applyFont="1" applyFill="1" applyBorder="1" applyAlignment="1">
      <alignment/>
    </xf>
    <xf numFmtId="44" fontId="8" fillId="0" borderId="2" xfId="17" applyFont="1" applyFill="1" applyBorder="1" applyAlignment="1">
      <alignment wrapText="1"/>
    </xf>
    <xf numFmtId="2" fontId="1" fillId="0" borderId="6" xfId="19" applyNumberFormat="1" applyFont="1" applyFill="1" applyBorder="1" applyAlignment="1">
      <alignment horizontal="left" vertical="center" wrapText="1"/>
      <protection/>
    </xf>
    <xf numFmtId="2" fontId="1" fillId="0" borderId="6" xfId="19" applyNumberFormat="1" applyFont="1" applyFill="1" applyBorder="1" applyAlignment="1">
      <alignment horizontal="centerContinuous" vertical="center" wrapText="1"/>
      <protection/>
    </xf>
    <xf numFmtId="2" fontId="1" fillId="0" borderId="0" xfId="19" applyNumberFormat="1" applyFont="1" applyFill="1" applyBorder="1" applyAlignment="1">
      <alignment horizontal="centerContinuous" vertical="center" wrapText="1"/>
      <protection/>
    </xf>
    <xf numFmtId="2" fontId="2" fillId="0" borderId="0" xfId="0" applyNumberFormat="1" applyFont="1" applyFill="1" applyAlignment="1">
      <alignment horizontal="right" vertical="center" wrapText="1"/>
    </xf>
    <xf numFmtId="2" fontId="2" fillId="0" borderId="0" xfId="0" applyNumberFormat="1" applyFont="1" applyFill="1" applyAlignment="1">
      <alignment vertical="center" wrapText="1"/>
    </xf>
    <xf numFmtId="2" fontId="1" fillId="0" borderId="6" xfId="19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45.28125" style="38" customWidth="1"/>
    <col min="2" max="2" width="12.7109375" style="36" customWidth="1"/>
    <col min="3" max="3" width="14.421875" style="36" customWidth="1"/>
    <col min="4" max="5" width="14.00390625" style="37" bestFit="1" customWidth="1"/>
    <col min="6" max="6" width="14.00390625" style="35" bestFit="1" customWidth="1"/>
    <col min="7" max="7" width="14.28125" style="35" customWidth="1"/>
    <col min="8" max="8" width="15.421875" style="35" customWidth="1"/>
    <col min="9" max="9" width="2.8515625" style="38" hidden="1" customWidth="1"/>
    <col min="10" max="13" width="14.00390625" style="8" hidden="1" customWidth="1"/>
    <col min="14" max="16384" width="8.8515625" style="8" customWidth="1"/>
  </cols>
  <sheetData>
    <row r="1" spans="1:9" s="4" customFormat="1" ht="15.75">
      <c r="A1" s="1" t="s">
        <v>0</v>
      </c>
      <c r="B1" s="2"/>
      <c r="C1" s="2"/>
      <c r="D1" s="3"/>
      <c r="E1" s="66"/>
      <c r="F1" s="2"/>
      <c r="G1" s="2"/>
      <c r="H1" s="2"/>
      <c r="I1" s="79"/>
    </row>
    <row r="2" spans="1:9" s="4" customFormat="1" ht="15.75">
      <c r="A2" s="1" t="s">
        <v>32</v>
      </c>
      <c r="B2" s="2"/>
      <c r="C2" s="2"/>
      <c r="D2" s="3"/>
      <c r="E2" s="66"/>
      <c r="F2" s="2"/>
      <c r="G2" s="2"/>
      <c r="H2" s="2"/>
      <c r="I2" s="79"/>
    </row>
    <row r="3" spans="1:8" ht="15.75">
      <c r="A3" s="5"/>
      <c r="B3" s="6"/>
      <c r="C3" s="6"/>
      <c r="D3" s="7"/>
      <c r="E3" s="7"/>
      <c r="F3" s="6"/>
      <c r="G3" s="6"/>
      <c r="H3" s="6"/>
    </row>
    <row r="4" spans="1:9" s="91" customFormat="1" ht="34.5">
      <c r="A4" s="87"/>
      <c r="B4" s="88" t="s">
        <v>35</v>
      </c>
      <c r="C4" s="88" t="s">
        <v>37</v>
      </c>
      <c r="D4" s="88" t="s">
        <v>38</v>
      </c>
      <c r="E4" s="88" t="s">
        <v>31</v>
      </c>
      <c r="F4" s="88" t="s">
        <v>30</v>
      </c>
      <c r="G4" s="92" t="s">
        <v>41</v>
      </c>
      <c r="H4" s="89"/>
      <c r="I4" s="90"/>
    </row>
    <row r="5" spans="1:8" ht="15.75">
      <c r="A5" s="9" t="s">
        <v>1</v>
      </c>
      <c r="B5" s="10">
        <v>28372115</v>
      </c>
      <c r="C5" s="10">
        <v>23018264.952499997</v>
      </c>
      <c r="D5" s="10">
        <f>+B34</f>
        <v>28723508.760000005</v>
      </c>
      <c r="E5" s="10">
        <f>+D34</f>
        <v>14080851.810000006</v>
      </c>
      <c r="F5" s="10">
        <f>+E34</f>
        <v>14747705.607765002</v>
      </c>
      <c r="G5" s="10">
        <f>+F34</f>
        <v>13568076.008279653</v>
      </c>
      <c r="H5" s="21"/>
    </row>
    <row r="6" spans="1:8" ht="15.75">
      <c r="A6" s="42" t="s">
        <v>33</v>
      </c>
      <c r="B6" s="41">
        <v>82.5</v>
      </c>
      <c r="C6" s="41">
        <v>82.5</v>
      </c>
      <c r="D6" s="41">
        <v>82.5</v>
      </c>
      <c r="E6" s="86">
        <v>95</v>
      </c>
      <c r="F6" s="41">
        <v>95</v>
      </c>
      <c r="G6" s="41">
        <v>95</v>
      </c>
      <c r="H6" s="82"/>
    </row>
    <row r="7" spans="1:8" ht="15.75">
      <c r="A7" s="11" t="s">
        <v>2</v>
      </c>
      <c r="B7" s="12"/>
      <c r="C7" s="12"/>
      <c r="D7" s="12"/>
      <c r="E7" s="12"/>
      <c r="F7" s="12"/>
      <c r="G7" s="12"/>
      <c r="H7" s="21"/>
    </row>
    <row r="8" spans="1:8" ht="18.75">
      <c r="A8" s="13" t="s">
        <v>52</v>
      </c>
      <c r="B8" s="14">
        <v>82511989.77</v>
      </c>
      <c r="C8" s="14">
        <v>83170290</v>
      </c>
      <c r="D8" s="14">
        <v>83170290</v>
      </c>
      <c r="E8" s="14">
        <v>99302026</v>
      </c>
      <c r="F8" s="14">
        <v>102173720</v>
      </c>
      <c r="G8" s="14">
        <v>105424620</v>
      </c>
      <c r="H8" s="21"/>
    </row>
    <row r="9" spans="1:8" ht="15.75">
      <c r="A9" s="13" t="s">
        <v>23</v>
      </c>
      <c r="B9" s="14">
        <v>3161306.49</v>
      </c>
      <c r="C9" s="14">
        <f>3460885-482775</f>
        <v>2978110</v>
      </c>
      <c r="D9" s="14">
        <v>3460885</v>
      </c>
      <c r="E9" s="14">
        <v>3564712</v>
      </c>
      <c r="F9" s="14">
        <v>3671653</v>
      </c>
      <c r="G9" s="14">
        <v>3781802.49</v>
      </c>
      <c r="H9" s="21"/>
    </row>
    <row r="10" spans="1:8" ht="15.75">
      <c r="A10" s="13" t="s">
        <v>24</v>
      </c>
      <c r="B10" s="14">
        <v>491309.93</v>
      </c>
      <c r="C10" s="14">
        <v>453000</v>
      </c>
      <c r="D10" s="14">
        <v>453000</v>
      </c>
      <c r="E10" s="14">
        <v>481590</v>
      </c>
      <c r="F10" s="14">
        <v>496038</v>
      </c>
      <c r="G10" s="14">
        <v>510919</v>
      </c>
      <c r="H10" s="21"/>
    </row>
    <row r="11" spans="1:8" ht="15.75">
      <c r="A11" s="13" t="s">
        <v>3</v>
      </c>
      <c r="B11" s="14">
        <v>906598.34</v>
      </c>
      <c r="C11" s="14">
        <v>900000</v>
      </c>
      <c r="D11" s="14">
        <v>900000</v>
      </c>
      <c r="E11" s="14">
        <v>537000</v>
      </c>
      <c r="F11" s="14">
        <v>537000</v>
      </c>
      <c r="G11" s="14">
        <v>337000</v>
      </c>
      <c r="H11" s="21"/>
    </row>
    <row r="12" spans="1:8" ht="18.75">
      <c r="A12" s="13" t="s">
        <v>56</v>
      </c>
      <c r="B12" s="14"/>
      <c r="C12" s="14"/>
      <c r="D12" s="14"/>
      <c r="E12" s="14">
        <v>228150</v>
      </c>
      <c r="F12" s="14">
        <v>465600</v>
      </c>
      <c r="G12" s="14">
        <v>475050</v>
      </c>
      <c r="H12" s="21"/>
    </row>
    <row r="13" spans="1:8" ht="15.75">
      <c r="A13" s="13" t="s">
        <v>25</v>
      </c>
      <c r="B13" s="14">
        <v>1256269</v>
      </c>
      <c r="C13" s="14">
        <v>800582</v>
      </c>
      <c r="D13" s="14">
        <v>800582</v>
      </c>
      <c r="E13" s="14">
        <f>(E5+((E8+E9+E10+E11+E12+E15)/2)+((E29-E28)/2))*5.1%</f>
        <v>661789.9441649999</v>
      </c>
      <c r="F13" s="14">
        <f>(F5+((F8+F9+F10+F11+F12+F15)/2)+((F29-F28)/2))*5.1%</f>
        <v>648656.120506665</v>
      </c>
      <c r="G13" s="14">
        <f>(G5+((G8+G9+G10+G11+G12+G15)/2)+((G29-G28)/2))*5.1%</f>
        <v>522874.0820832319</v>
      </c>
      <c r="H13" s="21"/>
    </row>
    <row r="14" spans="1:8" ht="15.75">
      <c r="A14" s="13" t="s">
        <v>69</v>
      </c>
      <c r="B14" s="14"/>
      <c r="C14" s="14"/>
      <c r="D14" s="14">
        <v>200000</v>
      </c>
      <c r="E14" s="14">
        <v>50000</v>
      </c>
      <c r="F14" s="14"/>
      <c r="G14" s="14"/>
      <c r="H14" s="21"/>
    </row>
    <row r="15" spans="1:10" ht="18.75">
      <c r="A15" s="13" t="s">
        <v>55</v>
      </c>
      <c r="B15" s="14">
        <f>1337185+255886.23</f>
        <v>1593071.23</v>
      </c>
      <c r="C15" s="14">
        <v>64646</v>
      </c>
      <c r="D15" s="14">
        <v>64646</v>
      </c>
      <c r="E15" s="14">
        <v>66585</v>
      </c>
      <c r="F15" s="14">
        <v>68583</v>
      </c>
      <c r="G15" s="14">
        <v>70640</v>
      </c>
      <c r="H15" s="21"/>
      <c r="J15" s="35"/>
    </row>
    <row r="16" spans="1:10" ht="15.75">
      <c r="A16" s="13" t="s">
        <v>4</v>
      </c>
      <c r="B16" s="14">
        <v>4756576</v>
      </c>
      <c r="C16" s="14">
        <v>5380460</v>
      </c>
      <c r="D16" s="14">
        <f>5346810-(B16+B28)</f>
        <v>5207847</v>
      </c>
      <c r="E16" s="14">
        <f>D16*1.03</f>
        <v>5364082.41</v>
      </c>
      <c r="F16" s="14">
        <f>E16*1.03</f>
        <v>5525004.882300001</v>
      </c>
      <c r="G16" s="14">
        <f>F16*1.03</f>
        <v>5690755.028769</v>
      </c>
      <c r="H16" s="21"/>
      <c r="J16" s="64"/>
    </row>
    <row r="17" spans="1:8" ht="15.75">
      <c r="A17" s="15" t="s">
        <v>5</v>
      </c>
      <c r="B17" s="16">
        <f aca="true" t="shared" si="0" ref="B17:G17">SUM(B8:B16)</f>
        <v>94677120.76</v>
      </c>
      <c r="C17" s="16">
        <f t="shared" si="0"/>
        <v>93747088</v>
      </c>
      <c r="D17" s="16">
        <f t="shared" si="0"/>
        <v>94257250</v>
      </c>
      <c r="E17" s="16">
        <f t="shared" si="0"/>
        <v>110255935.354165</v>
      </c>
      <c r="F17" s="16">
        <f t="shared" si="0"/>
        <v>113586255.00280666</v>
      </c>
      <c r="G17" s="16">
        <f t="shared" si="0"/>
        <v>116813660.60085222</v>
      </c>
      <c r="H17" s="83"/>
    </row>
    <row r="18" spans="1:8" ht="15.75">
      <c r="A18" s="11" t="s">
        <v>6</v>
      </c>
      <c r="B18" s="12"/>
      <c r="C18" s="17"/>
      <c r="D18" s="12"/>
      <c r="E18" s="12"/>
      <c r="F18" s="12"/>
      <c r="G18" s="12"/>
      <c r="H18" s="21"/>
    </row>
    <row r="19" spans="1:13" ht="18.75">
      <c r="A19" s="13" t="s">
        <v>53</v>
      </c>
      <c r="B19" s="14">
        <v>-64060943</v>
      </c>
      <c r="C19" s="17">
        <v>-73593920</v>
      </c>
      <c r="D19" s="17">
        <f>-73593920-200000</f>
        <v>-73793920</v>
      </c>
      <c r="E19" s="14">
        <f>(-73973204*1.03)-50000</f>
        <v>-76242400.12</v>
      </c>
      <c r="F19" s="14">
        <f>E19*1.03</f>
        <v>-78529672.1236</v>
      </c>
      <c r="G19" s="14">
        <f>F19*1.03</f>
        <v>-80885562.28730801</v>
      </c>
      <c r="H19" s="21"/>
      <c r="J19" s="72" t="s">
        <v>47</v>
      </c>
      <c r="K19" s="73">
        <v>2008</v>
      </c>
      <c r="L19" s="72">
        <v>2009</v>
      </c>
      <c r="M19" s="72">
        <v>2010</v>
      </c>
    </row>
    <row r="20" spans="1:13" ht="15.75">
      <c r="A20" s="13" t="s">
        <v>7</v>
      </c>
      <c r="B20" s="14">
        <v>-5749672</v>
      </c>
      <c r="C20" s="17">
        <v>-5849280</v>
      </c>
      <c r="D20" s="17">
        <v>-5849280</v>
      </c>
      <c r="E20" s="14">
        <v>-6230963</v>
      </c>
      <c r="F20" s="14">
        <v>-6601470</v>
      </c>
      <c r="G20" s="14">
        <f>-7016332</f>
        <v>-7016332</v>
      </c>
      <c r="H20" s="21"/>
      <c r="J20" s="35">
        <f>SUM(D20:D27)</f>
        <v>-31842168</v>
      </c>
      <c r="K20" s="35">
        <f>SUM(E20:E27)</f>
        <v>-30146819.67</v>
      </c>
      <c r="L20" s="35">
        <f>SUM(F20:F27)</f>
        <v>-32940838.1701</v>
      </c>
      <c r="M20" s="35">
        <f>SUM(G20:G27)</f>
        <v>-36345755.255203</v>
      </c>
    </row>
    <row r="21" spans="1:13" ht="18.75">
      <c r="A21" s="13" t="s">
        <v>54</v>
      </c>
      <c r="B21" s="17">
        <v>-3398342</v>
      </c>
      <c r="C21" s="17">
        <v>-4099189</v>
      </c>
      <c r="D21" s="17">
        <v>-4099189</v>
      </c>
      <c r="E21" s="14">
        <v>-5603946</v>
      </c>
      <c r="F21" s="14">
        <v>-5103946</v>
      </c>
      <c r="G21" s="14">
        <v>-4603946</v>
      </c>
      <c r="H21" s="21"/>
      <c r="J21" s="35">
        <f>D28</f>
        <v>-5346810</v>
      </c>
      <c r="K21" s="35">
        <f>E28</f>
        <v>-5364082.41</v>
      </c>
      <c r="L21" s="35">
        <f>F28</f>
        <v>-5525004.882300001</v>
      </c>
      <c r="M21" s="35">
        <f>G28</f>
        <v>-5690755.028769</v>
      </c>
    </row>
    <row r="22" spans="1:8" ht="15.75">
      <c r="A22" s="13" t="s">
        <v>8</v>
      </c>
      <c r="B22" s="17">
        <v>-6272857</v>
      </c>
      <c r="C22" s="17">
        <v>-6290636</v>
      </c>
      <c r="D22" s="17">
        <v>-6290636</v>
      </c>
      <c r="E22" s="14">
        <v>-2714284</v>
      </c>
      <c r="F22" s="14">
        <v>-2711743</v>
      </c>
      <c r="G22" s="14">
        <v>-2722137</v>
      </c>
      <c r="H22" s="21"/>
    </row>
    <row r="23" spans="1:11" ht="18.75">
      <c r="A23" s="13" t="s">
        <v>57</v>
      </c>
      <c r="B23" s="14"/>
      <c r="C23" s="17"/>
      <c r="D23" s="17"/>
      <c r="E23" s="14">
        <v>-3410310</v>
      </c>
      <c r="F23" s="14">
        <v>-5576860</v>
      </c>
      <c r="G23" s="14">
        <v>-8786563</v>
      </c>
      <c r="H23" s="21"/>
      <c r="K23" s="71"/>
    </row>
    <row r="24" spans="1:13" ht="15.75">
      <c r="A24" s="13" t="s">
        <v>42</v>
      </c>
      <c r="B24" s="14"/>
      <c r="C24" s="17"/>
      <c r="D24" s="17"/>
      <c r="E24" s="14">
        <f>-800000</f>
        <v>-800000</v>
      </c>
      <c r="F24" s="14">
        <v>-822883</v>
      </c>
      <c r="G24" s="14">
        <v>-849123</v>
      </c>
      <c r="H24" s="21"/>
      <c r="I24" s="38" t="s">
        <v>48</v>
      </c>
      <c r="J24" s="64">
        <v>101298104</v>
      </c>
      <c r="K24" s="64">
        <v>103620024</v>
      </c>
      <c r="L24" s="64">
        <v>108712327</v>
      </c>
      <c r="M24" s="64">
        <v>113947668</v>
      </c>
    </row>
    <row r="25" spans="1:13" ht="18.75">
      <c r="A25" s="39" t="s">
        <v>58</v>
      </c>
      <c r="B25" s="14">
        <v>-2800000</v>
      </c>
      <c r="C25" s="17">
        <v>-3746792</v>
      </c>
      <c r="D25" s="17">
        <v>-3746792</v>
      </c>
      <c r="E25" s="14">
        <v>-3500000</v>
      </c>
      <c r="F25" s="14">
        <v>-4000000</v>
      </c>
      <c r="G25" s="14">
        <v>-4000000</v>
      </c>
      <c r="H25" s="21"/>
      <c r="I25" s="38" t="s">
        <v>49</v>
      </c>
      <c r="J25" s="75">
        <f>-1*D28</f>
        <v>5346810</v>
      </c>
      <c r="K25" s="75">
        <f>-1*E28</f>
        <v>5364082.41</v>
      </c>
      <c r="L25" s="75">
        <f>-1*F28</f>
        <v>5525004.882300001</v>
      </c>
      <c r="M25" s="75">
        <f>-1*G28</f>
        <v>5690755.028769</v>
      </c>
    </row>
    <row r="26" spans="1:13" ht="15.75">
      <c r="A26" s="13" t="s">
        <v>9</v>
      </c>
      <c r="B26" s="14">
        <v>-7426300</v>
      </c>
      <c r="C26" s="14">
        <v>-7657589</v>
      </c>
      <c r="D26" s="14">
        <v>-7657589</v>
      </c>
      <c r="E26" s="14">
        <f>D26*1.03</f>
        <v>-7887316.67</v>
      </c>
      <c r="F26" s="14">
        <f>E26*1.03</f>
        <v>-8123936.1701</v>
      </c>
      <c r="G26" s="14">
        <f>F26*1.03</f>
        <v>-8367654.255203</v>
      </c>
      <c r="H26" s="21"/>
      <c r="I26" s="38" t="s">
        <v>50</v>
      </c>
      <c r="J26" s="76">
        <f>SUM(J24:J25)</f>
        <v>106644914</v>
      </c>
      <c r="K26" s="77">
        <f>SUM(K24:K25)</f>
        <v>108984106.41</v>
      </c>
      <c r="L26" s="77">
        <f>SUM(L24:L25)</f>
        <v>114237331.8823</v>
      </c>
      <c r="M26" s="77">
        <f>SUM(M24:M25)</f>
        <v>119638423.028769</v>
      </c>
    </row>
    <row r="27" spans="1:11" ht="15.75">
      <c r="A27" s="13" t="s">
        <v>10</v>
      </c>
      <c r="B27" s="14"/>
      <c r="C27" s="40"/>
      <c r="D27" s="40">
        <f>B40</f>
        <v>-4198682</v>
      </c>
      <c r="E27" s="14"/>
      <c r="F27" s="14"/>
      <c r="G27" s="14"/>
      <c r="H27" s="21"/>
      <c r="I27" s="38" t="s">
        <v>51</v>
      </c>
      <c r="J27" s="64">
        <f>J26+D27</f>
        <v>102446232</v>
      </c>
      <c r="K27" s="74"/>
    </row>
    <row r="28" spans="1:11" ht="15.75">
      <c r="A28" s="13" t="s">
        <v>26</v>
      </c>
      <c r="B28" s="14">
        <v>-4617613</v>
      </c>
      <c r="C28" s="17">
        <v>-5346810</v>
      </c>
      <c r="D28" s="17">
        <v>-5346810</v>
      </c>
      <c r="E28" s="14">
        <f>E16*-1</f>
        <v>-5364082.41</v>
      </c>
      <c r="F28" s="14">
        <f>F16*-1</f>
        <v>-5525004.882300001</v>
      </c>
      <c r="G28" s="14">
        <f>G16*-1</f>
        <v>-5690755.028769</v>
      </c>
      <c r="H28" s="21"/>
      <c r="J28" s="65"/>
      <c r="K28" s="78"/>
    </row>
    <row r="29" spans="1:11" ht="15.75">
      <c r="A29" s="9" t="s">
        <v>11</v>
      </c>
      <c r="B29" s="10">
        <f aca="true" t="shared" si="1" ref="B29:G29">SUM(B19:B28)</f>
        <v>-94325727</v>
      </c>
      <c r="C29" s="10">
        <f t="shared" si="1"/>
        <v>-106584216</v>
      </c>
      <c r="D29" s="10">
        <f t="shared" si="1"/>
        <v>-110982898</v>
      </c>
      <c r="E29" s="10">
        <f t="shared" si="1"/>
        <v>-111753302.2</v>
      </c>
      <c r="F29" s="10">
        <f t="shared" si="1"/>
        <v>-116995515.17600001</v>
      </c>
      <c r="G29" s="10">
        <f t="shared" si="1"/>
        <v>-122922072.57128</v>
      </c>
      <c r="H29" s="21"/>
      <c r="J29" s="35">
        <f>J27-J24</f>
        <v>1148128</v>
      </c>
      <c r="K29" s="35"/>
    </row>
    <row r="30" spans="1:11" ht="18.75">
      <c r="A30" s="18" t="s">
        <v>59</v>
      </c>
      <c r="B30" s="10"/>
      <c r="C30" s="19">
        <f>-(C19+C11+C9)*0.03</f>
        <v>2091474.2999999998</v>
      </c>
      <c r="D30" s="19">
        <f>-(D19+D11+D9)*0.03</f>
        <v>2082991.0499999998</v>
      </c>
      <c r="E30" s="19">
        <f>-(E19+E11+E9)*0.03</f>
        <v>2164220.6436</v>
      </c>
      <c r="F30" s="19">
        <f>-(F19+F11+F9)*0.03</f>
        <v>2229630.573708</v>
      </c>
      <c r="G30" s="19">
        <f>-(G19+G11+G9)*0.03</f>
        <v>2303002.79391924</v>
      </c>
      <c r="H30" s="21"/>
      <c r="K30" s="75"/>
    </row>
    <row r="31" spans="1:8" ht="15.75">
      <c r="A31" s="20" t="s">
        <v>12</v>
      </c>
      <c r="B31" s="14"/>
      <c r="C31" s="21"/>
      <c r="D31" s="22"/>
      <c r="E31" s="14"/>
      <c r="F31" s="14"/>
      <c r="G31" s="14"/>
      <c r="H31" s="21"/>
    </row>
    <row r="32" spans="1:11" ht="15.75">
      <c r="A32" s="13" t="s">
        <v>13</v>
      </c>
      <c r="B32" s="56"/>
      <c r="D32" s="22"/>
      <c r="E32" s="14"/>
      <c r="F32" s="14"/>
      <c r="G32" s="14"/>
      <c r="H32" s="21"/>
      <c r="K32" s="8">
        <v>-138800</v>
      </c>
    </row>
    <row r="33" spans="1:11" ht="15.75">
      <c r="A33" s="23" t="s">
        <v>14</v>
      </c>
      <c r="B33" s="24">
        <f aca="true" t="shared" si="2" ref="B33:G33">SUM(B32:B32)</f>
        <v>0</v>
      </c>
      <c r="C33" s="24">
        <f t="shared" si="2"/>
        <v>0</v>
      </c>
      <c r="D33" s="24">
        <f t="shared" si="2"/>
        <v>0</v>
      </c>
      <c r="E33" s="24">
        <f t="shared" si="2"/>
        <v>0</v>
      </c>
      <c r="F33" s="24">
        <f t="shared" si="2"/>
        <v>0</v>
      </c>
      <c r="G33" s="24">
        <f t="shared" si="2"/>
        <v>0</v>
      </c>
      <c r="H33" s="84"/>
      <c r="K33" s="8">
        <v>54253</v>
      </c>
    </row>
    <row r="34" spans="1:11" ht="15.75">
      <c r="A34" s="25" t="s">
        <v>15</v>
      </c>
      <c r="B34" s="24">
        <f aca="true" t="shared" si="3" ref="B34:G34">B5+B17+B29+B30+B33</f>
        <v>28723508.760000005</v>
      </c>
      <c r="C34" s="24">
        <f t="shared" si="3"/>
        <v>12272611.252500001</v>
      </c>
      <c r="D34" s="24">
        <f t="shared" si="3"/>
        <v>14080851.810000006</v>
      </c>
      <c r="E34" s="24">
        <f t="shared" si="3"/>
        <v>14747705.607765002</v>
      </c>
      <c r="F34" s="24">
        <f t="shared" si="3"/>
        <v>13568076.008279653</v>
      </c>
      <c r="G34" s="24">
        <f t="shared" si="3"/>
        <v>9762666.83177111</v>
      </c>
      <c r="H34" s="84"/>
      <c r="K34" s="8">
        <v>4005629</v>
      </c>
    </row>
    <row r="35" spans="1:11" ht="15.75">
      <c r="A35" s="11" t="s">
        <v>16</v>
      </c>
      <c r="B35" s="14"/>
      <c r="C35" s="22"/>
      <c r="D35" s="12"/>
      <c r="E35" s="14"/>
      <c r="F35" s="14"/>
      <c r="G35" s="14"/>
      <c r="H35" s="21"/>
      <c r="K35" s="8">
        <f>SUM(K32:K34)</f>
        <v>3921082</v>
      </c>
    </row>
    <row r="36" spans="1:8" ht="15.75">
      <c r="A36" s="13" t="s">
        <v>39</v>
      </c>
      <c r="B36" s="17"/>
      <c r="C36" s="59">
        <v>-2000000</v>
      </c>
      <c r="D36" s="59">
        <v>-2000000</v>
      </c>
      <c r="E36" s="59"/>
      <c r="F36" s="59"/>
      <c r="G36" s="58"/>
      <c r="H36" s="57"/>
    </row>
    <row r="37" spans="1:8" ht="15.75">
      <c r="A37" s="13" t="s">
        <v>17</v>
      </c>
      <c r="B37" s="58">
        <v>-4005629</v>
      </c>
      <c r="C37" s="57"/>
      <c r="D37" s="14"/>
      <c r="E37" s="14"/>
      <c r="F37" s="14"/>
      <c r="G37" s="14"/>
      <c r="H37" s="21"/>
    </row>
    <row r="38" spans="1:8" ht="15.75">
      <c r="A38" s="26" t="s">
        <v>18</v>
      </c>
      <c r="B38" s="58">
        <v>-54253</v>
      </c>
      <c r="C38" s="57"/>
      <c r="D38" s="14"/>
      <c r="E38" s="14"/>
      <c r="F38" s="14"/>
      <c r="G38" s="14"/>
      <c r="H38" s="21"/>
    </row>
    <row r="39" spans="1:8" ht="15.75">
      <c r="A39" s="13" t="s">
        <v>19</v>
      </c>
      <c r="B39" s="58">
        <f>-(80000+58800)</f>
        <v>-138800</v>
      </c>
      <c r="C39" s="57"/>
      <c r="D39" s="14"/>
      <c r="E39" s="14"/>
      <c r="F39" s="14"/>
      <c r="G39" s="14"/>
      <c r="H39" s="21"/>
    </row>
    <row r="40" spans="1:8" ht="15.75">
      <c r="A40" s="27" t="s">
        <v>20</v>
      </c>
      <c r="B40" s="60">
        <f aca="true" t="shared" si="4" ref="B40:G40">SUM(B36:B39)</f>
        <v>-4198682</v>
      </c>
      <c r="C40" s="60">
        <f t="shared" si="4"/>
        <v>-2000000</v>
      </c>
      <c r="D40" s="60">
        <f t="shared" si="4"/>
        <v>-2000000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57"/>
    </row>
    <row r="41" spans="1:8" ht="15.75">
      <c r="A41" s="25" t="s">
        <v>21</v>
      </c>
      <c r="B41" s="24">
        <f aca="true" t="shared" si="5" ref="B41:G41">+B34+B40</f>
        <v>24524826.760000005</v>
      </c>
      <c r="C41" s="24">
        <f t="shared" si="5"/>
        <v>10272611.252500001</v>
      </c>
      <c r="D41" s="24">
        <f t="shared" si="5"/>
        <v>12080851.810000006</v>
      </c>
      <c r="E41" s="24">
        <f t="shared" si="5"/>
        <v>14747705.607765002</v>
      </c>
      <c r="F41" s="24">
        <f t="shared" si="5"/>
        <v>13568076.008279653</v>
      </c>
      <c r="G41" s="24">
        <f t="shared" si="5"/>
        <v>9762666.83177111</v>
      </c>
      <c r="H41" s="84"/>
    </row>
    <row r="42" spans="1:9" s="4" customFormat="1" ht="15.75">
      <c r="A42" s="28"/>
      <c r="B42" s="29"/>
      <c r="C42" s="21"/>
      <c r="D42" s="30"/>
      <c r="E42" s="21"/>
      <c r="F42" s="21"/>
      <c r="G42" s="21"/>
      <c r="H42" s="21"/>
      <c r="I42" s="79"/>
    </row>
    <row r="43" spans="1:9" s="33" customFormat="1" ht="18.75">
      <c r="A43" s="31" t="s">
        <v>60</v>
      </c>
      <c r="B43" s="32">
        <f>-B19*45/360</f>
        <v>8007617.875</v>
      </c>
      <c r="C43" s="32">
        <v>8406139</v>
      </c>
      <c r="D43" s="32">
        <f>-D19*45/360</f>
        <v>9224240</v>
      </c>
      <c r="E43" s="32">
        <f>-E19*45/360</f>
        <v>9530300.015</v>
      </c>
      <c r="F43" s="32">
        <f>-F19*45/360</f>
        <v>9816209.01545</v>
      </c>
      <c r="G43" s="32">
        <f>-G19*45/360</f>
        <v>10110695.285913501</v>
      </c>
      <c r="H43" s="85"/>
      <c r="I43" s="80"/>
    </row>
    <row r="44" spans="1:8" ht="12.75" customHeight="1">
      <c r="A44" s="5"/>
      <c r="B44" s="6"/>
      <c r="C44" s="6"/>
      <c r="D44" s="7"/>
      <c r="E44" s="7"/>
      <c r="F44" s="6"/>
      <c r="G44" s="6"/>
      <c r="H44" s="6"/>
    </row>
    <row r="45" spans="1:8" ht="15.75">
      <c r="A45" s="34" t="s">
        <v>22</v>
      </c>
      <c r="B45" s="6"/>
      <c r="C45" s="6"/>
      <c r="D45" s="7"/>
      <c r="E45" s="7"/>
      <c r="F45" s="6"/>
      <c r="G45" s="6"/>
      <c r="H45" s="6"/>
    </row>
    <row r="46" spans="1:9" s="47" customFormat="1" ht="15" customHeight="1">
      <c r="A46" s="43" t="s">
        <v>36</v>
      </c>
      <c r="B46" s="44"/>
      <c r="C46" s="44"/>
      <c r="D46" s="45"/>
      <c r="E46" s="67"/>
      <c r="F46" s="46"/>
      <c r="G46" s="46"/>
      <c r="H46" s="46"/>
      <c r="I46" s="81"/>
    </row>
    <row r="47" spans="1:9" s="47" customFormat="1" ht="15" customHeight="1">
      <c r="A47" s="54" t="s">
        <v>44</v>
      </c>
      <c r="B47" s="44"/>
      <c r="C47" s="44"/>
      <c r="D47" s="45"/>
      <c r="E47" s="68"/>
      <c r="F47" s="44"/>
      <c r="G47" s="44"/>
      <c r="H47" s="44"/>
      <c r="I47" s="81"/>
    </row>
    <row r="48" spans="1:9" s="47" customFormat="1" ht="15" customHeight="1">
      <c r="A48" s="54" t="s">
        <v>40</v>
      </c>
      <c r="B48" s="49"/>
      <c r="C48" s="49"/>
      <c r="D48" s="50"/>
      <c r="E48" s="69"/>
      <c r="F48" s="44"/>
      <c r="G48" s="48"/>
      <c r="H48" s="48"/>
      <c r="I48" s="81"/>
    </row>
    <row r="49" spans="1:9" s="47" customFormat="1" ht="15" customHeight="1">
      <c r="A49" s="54" t="s">
        <v>43</v>
      </c>
      <c r="B49" s="63"/>
      <c r="C49" s="63"/>
      <c r="D49" s="45"/>
      <c r="E49" s="68"/>
      <c r="F49" s="46"/>
      <c r="G49" s="48"/>
      <c r="H49" s="48"/>
      <c r="I49" s="81"/>
    </row>
    <row r="50" spans="1:9" s="47" customFormat="1" ht="15" customHeight="1">
      <c r="A50" s="61" t="s">
        <v>45</v>
      </c>
      <c r="B50" s="51"/>
      <c r="C50" s="51"/>
      <c r="D50" s="45"/>
      <c r="E50" s="68"/>
      <c r="F50" s="46"/>
      <c r="G50" s="48"/>
      <c r="H50" s="48"/>
      <c r="I50" s="81"/>
    </row>
    <row r="51" spans="1:9" s="47" customFormat="1" ht="15" customHeight="1">
      <c r="A51" s="62" t="s">
        <v>46</v>
      </c>
      <c r="B51" s="51"/>
      <c r="C51" s="51"/>
      <c r="D51" s="45"/>
      <c r="E51" s="68"/>
      <c r="F51" s="46"/>
      <c r="G51" s="48"/>
      <c r="H51" s="48"/>
      <c r="I51" s="81"/>
    </row>
    <row r="52" spans="1:9" s="47" customFormat="1" ht="15" customHeight="1">
      <c r="A52" s="61" t="s">
        <v>68</v>
      </c>
      <c r="B52" s="51"/>
      <c r="C52" s="51"/>
      <c r="D52" s="45"/>
      <c r="E52" s="68"/>
      <c r="F52" s="46"/>
      <c r="G52" s="48"/>
      <c r="H52" s="48"/>
      <c r="I52" s="81"/>
    </row>
    <row r="53" spans="1:9" s="47" customFormat="1" ht="15" customHeight="1">
      <c r="A53" s="54" t="s">
        <v>67</v>
      </c>
      <c r="B53" s="51"/>
      <c r="C53" s="51"/>
      <c r="D53" s="45"/>
      <c r="E53" s="68"/>
      <c r="F53" s="46"/>
      <c r="G53" s="48"/>
      <c r="H53" s="48"/>
      <c r="I53" s="81"/>
    </row>
    <row r="54" spans="1:9" s="47" customFormat="1" ht="15" customHeight="1">
      <c r="A54" s="54" t="s">
        <v>66</v>
      </c>
      <c r="B54" s="48"/>
      <c r="C54" s="48"/>
      <c r="D54" s="45"/>
      <c r="E54" s="70"/>
      <c r="F54" s="48"/>
      <c r="G54" s="48"/>
      <c r="H54" s="48"/>
      <c r="I54" s="81"/>
    </row>
    <row r="55" spans="1:9" s="47" customFormat="1" ht="15" customHeight="1">
      <c r="A55" s="55" t="s">
        <v>29</v>
      </c>
      <c r="B55" s="52"/>
      <c r="C55" s="52"/>
      <c r="D55" s="53"/>
      <c r="E55" s="53"/>
      <c r="F55" s="46"/>
      <c r="G55" s="46"/>
      <c r="H55" s="46"/>
      <c r="I55" s="81"/>
    </row>
    <row r="56" spans="1:9" s="47" customFormat="1" ht="15" customHeight="1">
      <c r="A56" s="55" t="s">
        <v>27</v>
      </c>
      <c r="B56" s="52"/>
      <c r="C56" s="52"/>
      <c r="D56" s="53"/>
      <c r="E56" s="53"/>
      <c r="F56" s="46"/>
      <c r="G56" s="46"/>
      <c r="H56" s="46"/>
      <c r="I56" s="81"/>
    </row>
    <row r="57" spans="1:9" s="47" customFormat="1" ht="15" customHeight="1">
      <c r="A57" s="54" t="s">
        <v>65</v>
      </c>
      <c r="B57" s="52"/>
      <c r="C57" s="52"/>
      <c r="D57" s="53"/>
      <c r="E57" s="53"/>
      <c r="F57" s="46"/>
      <c r="G57" s="46"/>
      <c r="H57" s="46"/>
      <c r="I57" s="81"/>
    </row>
    <row r="58" spans="1:9" s="47" customFormat="1" ht="15" customHeight="1">
      <c r="A58" s="54" t="s">
        <v>64</v>
      </c>
      <c r="B58" s="52"/>
      <c r="C58" s="52"/>
      <c r="D58" s="53"/>
      <c r="E58" s="53"/>
      <c r="F58" s="46"/>
      <c r="G58" s="46"/>
      <c r="H58" s="46"/>
      <c r="I58" s="81"/>
    </row>
    <row r="59" spans="1:9" s="47" customFormat="1" ht="15" customHeight="1">
      <c r="A59" s="54" t="s">
        <v>63</v>
      </c>
      <c r="B59" s="52"/>
      <c r="C59" s="52"/>
      <c r="D59" s="53"/>
      <c r="E59" s="53"/>
      <c r="F59" s="46"/>
      <c r="G59" s="46"/>
      <c r="H59" s="46"/>
      <c r="I59" s="81"/>
    </row>
    <row r="60" spans="1:9" s="47" customFormat="1" ht="15" customHeight="1">
      <c r="A60" s="55" t="s">
        <v>28</v>
      </c>
      <c r="B60" s="52"/>
      <c r="C60" s="52"/>
      <c r="D60" s="53"/>
      <c r="E60" s="53"/>
      <c r="F60" s="46"/>
      <c r="G60" s="46"/>
      <c r="H60" s="46"/>
      <c r="I60" s="81"/>
    </row>
    <row r="61" spans="1:9" s="47" customFormat="1" ht="15" customHeight="1">
      <c r="A61" s="54" t="s">
        <v>62</v>
      </c>
      <c r="B61" s="52"/>
      <c r="C61" s="52"/>
      <c r="D61" s="53"/>
      <c r="E61" s="53"/>
      <c r="F61" s="46"/>
      <c r="G61" s="46"/>
      <c r="H61" s="46"/>
      <c r="I61" s="81"/>
    </row>
    <row r="62" spans="1:9" s="47" customFormat="1" ht="15" customHeight="1">
      <c r="A62" s="55" t="s">
        <v>34</v>
      </c>
      <c r="B62" s="52"/>
      <c r="C62" s="52"/>
      <c r="D62" s="53"/>
      <c r="E62" s="53"/>
      <c r="F62" s="46"/>
      <c r="G62" s="46"/>
      <c r="H62" s="46"/>
      <c r="I62" s="81"/>
    </row>
    <row r="63" spans="1:9" s="47" customFormat="1" ht="15" customHeight="1">
      <c r="A63" s="54" t="s">
        <v>61</v>
      </c>
      <c r="B63" s="52"/>
      <c r="C63" s="52"/>
      <c r="D63" s="53"/>
      <c r="E63" s="53"/>
      <c r="F63" s="46"/>
      <c r="G63" s="46"/>
      <c r="H63" s="46"/>
      <c r="I63" s="81"/>
    </row>
  </sheetData>
  <printOptions horizontalCentered="1"/>
  <pageMargins left="0.75" right="0.75" top="1" bottom="1" header="0.5" footer="0.5"/>
  <pageSetup horizontalDpi="525" verticalDpi="525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youngrenl</dc:creator>
  <cp:keywords/>
  <dc:description/>
  <cp:lastModifiedBy>Cook, Gennevie</cp:lastModifiedBy>
  <cp:lastPrinted>2007-05-16T15:06:56Z</cp:lastPrinted>
  <dcterms:created xsi:type="dcterms:W3CDTF">2005-08-03T20:19:51Z</dcterms:created>
  <dcterms:modified xsi:type="dcterms:W3CDTF">2007-06-11T17:52:37Z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-1279903505</vt:i4>
  </property>
  <property fmtid="{D5CDD505-2E9C-101B-9397-08002B2CF9AE}" pid="3" name="_EmailSubject">
    <vt:lpwstr>2007-0126 - Here's everything again </vt:lpwstr>
  </property>
  <property fmtid="{D5CDD505-2E9C-101B-9397-08002B2CF9AE}" pid="4" name="_AuthorEmail">
    <vt:lpwstr>Susan.Neely@metrokc.gov</vt:lpwstr>
  </property>
  <property fmtid="{D5CDD505-2E9C-101B-9397-08002B2CF9AE}" pid="5" name="_AuthorEmailDisplayName">
    <vt:lpwstr>Neely, Susan</vt:lpwstr>
  </property>
  <property fmtid="{D5CDD505-2E9C-101B-9397-08002B2CF9AE}" pid="6" name="_ReviewingToolsShownOnce">
    <vt:lpwstr/>
  </property>
</Properties>
</file>