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25080" yWindow="65101" windowWidth="29040" windowHeight="15840" activeTab="0"/>
  </bookViews>
  <sheets>
    <sheet name="TY 2023" sheetId="14" r:id="rId1"/>
    <sheet name="TY 2022" sheetId="13" r:id="rId2"/>
    <sheet name="TY 2021" sheetId="11" r:id="rId3"/>
    <sheet name="TY 2020" sheetId="12" r:id="rId4"/>
    <sheet name="TY 2019" sheetId="9" r:id="rId5"/>
    <sheet name="TY 2018" sheetId="10" r:id="rId6"/>
    <sheet name="TY 2017" sheetId="7" r:id="rId7"/>
    <sheet name="TY 2016" sheetId="6" r:id="rId8"/>
    <sheet name="TY 2015" sheetId="5" r:id="rId9"/>
    <sheet name="TY 2014" sheetId="4" r:id="rId10"/>
    <sheet name="TY 2013" sheetId="1" r:id="rId11"/>
  </sheets>
  <definedNames/>
  <calcPr calcId="191029"/>
  <extLst/>
</workbook>
</file>

<file path=xl/comments1.xml><?xml version="1.0" encoding="utf-8"?>
<comments xmlns="http://schemas.openxmlformats.org/spreadsheetml/2006/main">
  <authors>
    <author>Reich, David</author>
    <author>Administrator</author>
  </authors>
  <commentList>
    <comment ref="E8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TY 2021 method</t>
        </r>
      </text>
    </comment>
    <comment ref="D1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 by $58K to match levy limit worksheet</t>
        </r>
      </text>
    </comment>
    <comment ref="B31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Matches 2020 levy worksheet less $50K for ICRI</t>
        </r>
      </text>
    </comment>
    <comment ref="C47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Assumes $1M placeholder</t>
        </r>
      </text>
    </comment>
  </commentList>
</comments>
</file>

<file path=xl/comments10.xml><?xml version="1.0" encoding="utf-8"?>
<comments xmlns="http://schemas.openxmlformats.org/spreadsheetml/2006/main">
  <authors>
    <author>Administrator</author>
    <author>Reich, David</author>
    <author>Hazel Gantz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B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the 2013 levy amount for both Parks Levies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both park levies
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B1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From the levy worksheet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E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Includes new Parks lidlift and LF for AFIS and CFSC</t>
        </r>
      </text>
    </comment>
    <comment ref="F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Removes NC and refunds from 2014 forecast.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Removing AFIS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Assessor forecast (11-13-12) plus YSC and AFIS levy amount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</commentList>
</comments>
</file>

<file path=xl/comments2.xml><?xml version="1.0" encoding="utf-8"?>
<comments xmlns="http://schemas.openxmlformats.org/spreadsheetml/2006/main">
  <authors>
    <author>Reich, David</author>
    <author>Administrator</author>
  </authors>
  <commentList>
    <comment ref="B3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BSK and CFJC levies. </t>
        </r>
      </text>
    </comment>
    <comment ref="E8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TY 2021 method</t>
        </r>
      </text>
    </comment>
    <comment ref="D1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 by $58K to match levy limit worksheet</t>
        </r>
      </text>
    </comment>
    <comment ref="B31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Matches 2020 levy worksheet less $50K for ICRI</t>
        </r>
      </text>
    </comment>
    <comment ref="C47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Assumes $1M placeholder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ICRI 
levy. </t>
        </r>
      </text>
    </comment>
    <comment ref="E8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2020 method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 by $58K to match levy limit worksheet</t>
        </r>
      </text>
    </comment>
    <comment ref="B31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Matches 2020 levy worksheet less $50K for ICRI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Parks
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Parks levy forecast for 2020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Parks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18644)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$22,346,764 for the AFIS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AFIS forecast for 2019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AFIS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$55K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18448)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$18,624,329 for the vet's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old Vets levy and adds the new one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proposed vet's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$248K
</t>
        </r>
      </text>
    </comment>
  </commentList>
</comments>
</file>

<file path=xl/comments7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18231)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Inlcudes $2,485 to match Assessor's worksheet
</t>
        </r>
      </text>
    </comment>
  </commentList>
</comments>
</file>

<file path=xl/comments8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17965)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estimated $79K additional to account for higher lid lift limit factor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17744)</t>
        </r>
      </text>
    </comment>
    <comment ref="D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sharedStrings.xml><?xml version="1.0" encoding="utf-8"?>
<sst xmlns="http://schemas.openxmlformats.org/spreadsheetml/2006/main" count="644" uniqueCount="102">
  <si>
    <t>Regular Levy</t>
  </si>
  <si>
    <t>Title</t>
  </si>
  <si>
    <t>% diff</t>
  </si>
  <si>
    <t>Transit</t>
  </si>
  <si>
    <t>Roads</t>
  </si>
  <si>
    <t>CF</t>
  </si>
  <si>
    <t>EMS</t>
  </si>
  <si>
    <t>2012 Levy</t>
  </si>
  <si>
    <t>2013 Forecasted Levy</t>
  </si>
  <si>
    <t xml:space="preserve"> </t>
  </si>
  <si>
    <t>RCW 84.55 levy value</t>
  </si>
  <si>
    <t>101% of RCW 84.55 value</t>
  </si>
  <si>
    <t>Difference</t>
  </si>
  <si>
    <t>2013 Levy</t>
  </si>
  <si>
    <t>2014 Forecasted Levy</t>
  </si>
  <si>
    <t>Parks-NEW</t>
  </si>
  <si>
    <t>EMS-New</t>
  </si>
  <si>
    <t>N/A</t>
  </si>
  <si>
    <t>2014  Levy via Final WS</t>
  </si>
  <si>
    <t>Revised Calculations</t>
  </si>
  <si>
    <t>2014 levy</t>
  </si>
  <si>
    <t>September Draft Values</t>
  </si>
  <si>
    <t>2014 Levy</t>
  </si>
  <si>
    <t>2015 Forecasted Levy</t>
  </si>
  <si>
    <t xml:space="preserve">Limit Factor multiplied by RCW 84.55 value </t>
  </si>
  <si>
    <t>Revised Calculations (October)</t>
  </si>
  <si>
    <t>2015  Levy per Assessor's Preliminary Worksheet</t>
  </si>
  <si>
    <t>2015 levy</t>
  </si>
  <si>
    <t>2015 Levy</t>
  </si>
  <si>
    <t>2016  Levy per Assessor's Preliminary Worksheet</t>
  </si>
  <si>
    <t>2016 Forecasted Levy</t>
  </si>
  <si>
    <t>Revised Calculations (October/November)</t>
  </si>
  <si>
    <t>Ferry District</t>
  </si>
  <si>
    <t>2016 levy</t>
  </si>
  <si>
    <t>2017 Forecasted Levy</t>
  </si>
  <si>
    <t>CX</t>
  </si>
  <si>
    <t>2016 Base</t>
  </si>
  <si>
    <t>AFIS</t>
  </si>
  <si>
    <t>CFJC</t>
  </si>
  <si>
    <t>Vets</t>
  </si>
  <si>
    <t>Parks</t>
  </si>
  <si>
    <t>PSERN</t>
  </si>
  <si>
    <t>BSK</t>
  </si>
  <si>
    <t>Total</t>
  </si>
  <si>
    <t>Levy</t>
  </si>
  <si>
    <t>101% of base</t>
  </si>
  <si>
    <t>add'l Limit Factor</t>
  </si>
  <si>
    <t>Alternate Limit Factor Calculation (Regular Levy)</t>
  </si>
  <si>
    <t>Marine levy</t>
  </si>
  <si>
    <t>2017 levy</t>
  </si>
  <si>
    <t>2018 Forecasted Levy</t>
  </si>
  <si>
    <t>2017 Base</t>
  </si>
  <si>
    <t>Total less Vets</t>
  </si>
  <si>
    <t>add'l Limit Factor/increase</t>
  </si>
  <si>
    <t>Check (Ord 18448)</t>
  </si>
  <si>
    <t>Revised Calculations (November 2017)</t>
  </si>
  <si>
    <t>2018  Levy per Assessor's Preliminary Worksheet or Forecast</t>
  </si>
  <si>
    <t>Revised Calculations (November 2018)</t>
  </si>
  <si>
    <t>August Draft Values</t>
  </si>
  <si>
    <t>2018 levy</t>
  </si>
  <si>
    <t>Check (Ord 18644)</t>
  </si>
  <si>
    <t>2018 Base</t>
  </si>
  <si>
    <t>2019 Forecasted Levy</t>
  </si>
  <si>
    <t>Total less AFIS</t>
  </si>
  <si>
    <t>2019  Levy per Assessor's Preliminary Worksheet or Forecast</t>
  </si>
  <si>
    <t>Revised Calculations (November 2019)</t>
  </si>
  <si>
    <t>2019 levy</t>
  </si>
  <si>
    <t>2020 Forecasted Levy</t>
  </si>
  <si>
    <t>2019 Base</t>
  </si>
  <si>
    <t>Total less Parks</t>
  </si>
  <si>
    <t>EMS-NEW</t>
  </si>
  <si>
    <t>Forecast Year Total Calculation</t>
  </si>
  <si>
    <t>Current Expense</t>
  </si>
  <si>
    <t>DD/MH</t>
  </si>
  <si>
    <t>ICRI</t>
  </si>
  <si>
    <t>VS&amp;HS</t>
  </si>
  <si>
    <t>August 2019 Draft Values</t>
  </si>
  <si>
    <t>2020  Levy per Assessor's Preliminary Worksheet or Forecast</t>
  </si>
  <si>
    <t>Revised Calculations (November 2020)</t>
  </si>
  <si>
    <t>August 2020 Draft Values</t>
  </si>
  <si>
    <t>2020 levy</t>
  </si>
  <si>
    <t>2020 Base</t>
  </si>
  <si>
    <t>2021 Forecasted Levy</t>
  </si>
  <si>
    <t>2021  Levy per Assessor's Preliminary Worksheet or Forecast</t>
  </si>
  <si>
    <t>Relevy</t>
  </si>
  <si>
    <t>Total less Relevy</t>
  </si>
  <si>
    <t>August 2021 Draft Values</t>
  </si>
  <si>
    <t>2021 levy</t>
  </si>
  <si>
    <t>2022 Forecasted Levy</t>
  </si>
  <si>
    <t>2021 Base</t>
  </si>
  <si>
    <t>lTotal less relevy</t>
  </si>
  <si>
    <t>Revised Calculations (November 2021)</t>
  </si>
  <si>
    <t>2022 Forecast</t>
  </si>
  <si>
    <t>2021 Actual</t>
  </si>
  <si>
    <t>LF Check</t>
  </si>
  <si>
    <t>August 2022 Draft Values</t>
  </si>
  <si>
    <t>2022 levy</t>
  </si>
  <si>
    <t>2023 Forecasted Levy</t>
  </si>
  <si>
    <t>2022 Actual</t>
  </si>
  <si>
    <t>2023 Forecast</t>
  </si>
  <si>
    <t>2022 Base</t>
  </si>
  <si>
    <t>CF-2023 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</si>
</sst>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64" fontId="2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0" fillId="4" borderId="0" xfId="0" applyFill="1"/>
    <xf numFmtId="0" fontId="2" fillId="5" borderId="0" xfId="0" applyFont="1" applyFill="1"/>
    <xf numFmtId="0" fontId="1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10" fillId="0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6E58-7632-40FA-8C7B-4C7DD3E3079C}">
  <sheetPr>
    <pageSetUpPr fitToPage="1"/>
  </sheetPr>
  <dimension ref="A1:H49"/>
  <sheetViews>
    <sheetView tabSelected="1" workbookViewId="0" topLeftCell="A26">
      <selection activeCell="C49" sqref="C49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95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96</v>
      </c>
      <c r="E2" s="22" t="s">
        <v>97</v>
      </c>
      <c r="F2" s="22" t="s">
        <v>12</v>
      </c>
      <c r="G2" s="22" t="s">
        <v>2</v>
      </c>
    </row>
    <row r="3" spans="1:7" s="67" customFormat="1" ht="15">
      <c r="A3" s="30" t="s">
        <v>0</v>
      </c>
      <c r="B3" s="31">
        <f>804094116+50000</f>
        <v>804144116</v>
      </c>
      <c r="C3" s="31">
        <f>+E31</f>
        <v>828020415.6676018</v>
      </c>
      <c r="D3" s="31">
        <f>+B46</f>
        <v>805377353</v>
      </c>
      <c r="E3" s="31">
        <f>+C46</f>
        <v>841442905</v>
      </c>
      <c r="F3" s="31">
        <f>+C3-D3</f>
        <v>22643062.667601824</v>
      </c>
      <c r="G3" s="32">
        <f aca="true" t="shared" si="0" ref="G3:G8">+F3/D3</f>
        <v>0.028114848999984017</v>
      </c>
    </row>
    <row r="4" spans="1:7" ht="15">
      <c r="A4" s="23" t="s">
        <v>3</v>
      </c>
      <c r="B4" s="31">
        <v>31737969</v>
      </c>
      <c r="C4" s="31">
        <f>1.01*B4</f>
        <v>32055348.69</v>
      </c>
      <c r="D4" s="31">
        <v>31794564</v>
      </c>
      <c r="E4" s="31">
        <v>32595023</v>
      </c>
      <c r="F4" s="31">
        <f>+C4-D4</f>
        <v>260784.69000000134</v>
      </c>
      <c r="G4" s="32">
        <f t="shared" si="0"/>
        <v>0.008202178523347618</v>
      </c>
    </row>
    <row r="5" spans="1:7" ht="15">
      <c r="A5" s="23" t="s">
        <v>4</v>
      </c>
      <c r="B5" s="31">
        <v>96366259</v>
      </c>
      <c r="C5" s="31">
        <f>1.01*B5</f>
        <v>97329921.59</v>
      </c>
      <c r="D5" s="31">
        <v>96531490</v>
      </c>
      <c r="E5" s="31">
        <v>98203702</v>
      </c>
      <c r="F5" s="31">
        <f>+C5-D5</f>
        <v>798431.5900000036</v>
      </c>
      <c r="G5" s="32">
        <f t="shared" si="0"/>
        <v>0.008271203417661983</v>
      </c>
    </row>
    <row r="6" spans="1:7" ht="15">
      <c r="A6" s="23" t="s">
        <v>101</v>
      </c>
      <c r="B6" s="31" t="s">
        <v>17</v>
      </c>
      <c r="C6" s="31" t="s">
        <v>17</v>
      </c>
      <c r="D6" s="31">
        <v>22426573</v>
      </c>
      <c r="E6" s="31">
        <v>52651838</v>
      </c>
      <c r="F6" s="31">
        <f>+E6-D6</f>
        <v>30225265</v>
      </c>
      <c r="G6" s="32">
        <f t="shared" si="0"/>
        <v>1.3477433667640615</v>
      </c>
    </row>
    <row r="7" spans="1:7" ht="15">
      <c r="A7" s="23" t="s">
        <v>6</v>
      </c>
      <c r="B7" s="31">
        <v>178345270</v>
      </c>
      <c r="C7" s="31">
        <f>1.01*B7</f>
        <v>180128722.7</v>
      </c>
      <c r="D7" s="31">
        <v>178625807</v>
      </c>
      <c r="E7" s="31">
        <v>183147327</v>
      </c>
      <c r="F7" s="31">
        <f>+C7-D7</f>
        <v>1502915.699999988</v>
      </c>
      <c r="G7" s="32">
        <f t="shared" si="0"/>
        <v>0.008413765766779647</v>
      </c>
    </row>
    <row r="8" spans="1:7" ht="15">
      <c r="A8" s="23" t="s">
        <v>48</v>
      </c>
      <c r="B8" s="31">
        <v>257587215</v>
      </c>
      <c r="C8" s="31">
        <f>1.01*B8</f>
        <v>260163087.15</v>
      </c>
      <c r="D8" s="31">
        <v>6525843</v>
      </c>
      <c r="E8" s="31">
        <f>+D8*1.01</f>
        <v>6591101.43</v>
      </c>
      <c r="F8" s="31">
        <f>+E8-D8</f>
        <v>65258.4299999997</v>
      </c>
      <c r="G8" s="32">
        <f t="shared" si="0"/>
        <v>0.009999999999999955</v>
      </c>
    </row>
    <row r="9" spans="1:7" ht="15">
      <c r="A9" s="23" t="s">
        <v>9</v>
      </c>
      <c r="B9" s="52"/>
      <c r="C9" s="52"/>
      <c r="D9" s="48" t="s">
        <v>9</v>
      </c>
      <c r="E9" s="52"/>
      <c r="F9" s="52"/>
      <c r="G9" s="52"/>
    </row>
    <row r="10" spans="1:7" ht="15">
      <c r="A10" s="19" t="s">
        <v>91</v>
      </c>
      <c r="B10" s="53"/>
      <c r="C10" s="54"/>
      <c r="D10" s="54"/>
      <c r="E10" s="54"/>
      <c r="F10" s="54"/>
      <c r="G10" s="54"/>
    </row>
    <row r="11" spans="1:7" ht="75">
      <c r="A11" s="28" t="s">
        <v>1</v>
      </c>
      <c r="B11" s="55" t="s">
        <v>10</v>
      </c>
      <c r="C11" s="55" t="s">
        <v>24</v>
      </c>
      <c r="D11" s="55" t="str">
        <f aca="true" t="shared" si="1" ref="D11">+D2</f>
        <v>2022 levy</v>
      </c>
      <c r="E11" s="55" t="s">
        <v>83</v>
      </c>
      <c r="F11" s="55" t="s">
        <v>12</v>
      </c>
      <c r="G11" s="55" t="s">
        <v>2</v>
      </c>
    </row>
    <row r="12" spans="1:7" ht="15">
      <c r="A12" s="30" t="s">
        <v>0</v>
      </c>
      <c r="B12" s="48">
        <f>+B3</f>
        <v>804144116</v>
      </c>
      <c r="C12" s="48">
        <f>+E31</f>
        <v>828020415.6676018</v>
      </c>
      <c r="D12" s="48" t="s">
        <v>9</v>
      </c>
      <c r="E12" s="48" t="s">
        <v>9</v>
      </c>
      <c r="F12" s="48" t="e">
        <f>+C12-D12</f>
        <v>#VALUE!</v>
      </c>
      <c r="G12" s="49" t="e">
        <f aca="true" t="shared" si="2" ref="G12:G17">+F12/D12</f>
        <v>#VALUE!</v>
      </c>
    </row>
    <row r="13" spans="1:7" s="34" customFormat="1" ht="15">
      <c r="A13" s="30" t="s">
        <v>3</v>
      </c>
      <c r="B13" s="48">
        <f>+B4</f>
        <v>31737969</v>
      </c>
      <c r="C13" s="48">
        <f aca="true" t="shared" si="3" ref="C13:C17">1.01*B13</f>
        <v>32055348.69</v>
      </c>
      <c r="D13" s="48" t="s">
        <v>9</v>
      </c>
      <c r="E13" s="48" t="s">
        <v>9</v>
      </c>
      <c r="F13" s="48" t="e">
        <f>+C13-D13</f>
        <v>#VALUE!</v>
      </c>
      <c r="G13" s="49" t="e">
        <f t="shared" si="2"/>
        <v>#VALUE!</v>
      </c>
    </row>
    <row r="14" spans="1:7" ht="15">
      <c r="A14" s="30" t="s">
        <v>4</v>
      </c>
      <c r="B14" s="48">
        <f aca="true" t="shared" si="4" ref="B14:B16">+B5</f>
        <v>96366259</v>
      </c>
      <c r="C14" s="48">
        <f t="shared" si="3"/>
        <v>97329921.59</v>
      </c>
      <c r="D14" s="48" t="s">
        <v>9</v>
      </c>
      <c r="E14" s="48" t="s">
        <v>9</v>
      </c>
      <c r="F14" s="48" t="e">
        <f>+C14-D14</f>
        <v>#VALUE!</v>
      </c>
      <c r="G14" s="49" t="e">
        <f t="shared" si="2"/>
        <v>#VALUE!</v>
      </c>
    </row>
    <row r="15" spans="1:7" ht="15">
      <c r="A15" s="30" t="s">
        <v>5</v>
      </c>
      <c r="B15" s="48" t="str">
        <f t="shared" si="4"/>
        <v>N/A</v>
      </c>
      <c r="C15" s="48" t="e">
        <f t="shared" si="3"/>
        <v>#VALUE!</v>
      </c>
      <c r="D15" s="48" t="s">
        <v>9</v>
      </c>
      <c r="E15" s="48" t="s">
        <v>9</v>
      </c>
      <c r="F15" s="48" t="e">
        <f>+C15-D15</f>
        <v>#VALUE!</v>
      </c>
      <c r="G15" s="49" t="e">
        <f t="shared" si="2"/>
        <v>#VALUE!</v>
      </c>
    </row>
    <row r="16" spans="1:7" ht="15">
      <c r="A16" s="30" t="s">
        <v>6</v>
      </c>
      <c r="B16" s="48">
        <f t="shared" si="4"/>
        <v>178345270</v>
      </c>
      <c r="C16" s="48">
        <f t="shared" si="3"/>
        <v>180128722.7</v>
      </c>
      <c r="D16" s="48" t="s">
        <v>9</v>
      </c>
      <c r="E16" s="48" t="s">
        <v>9</v>
      </c>
      <c r="F16" s="48" t="e">
        <f>+E16-D16</f>
        <v>#VALUE!</v>
      </c>
      <c r="G16" s="49" t="e">
        <f t="shared" si="2"/>
        <v>#VALUE!</v>
      </c>
    </row>
    <row r="17" spans="1:7" ht="15">
      <c r="A17" s="30" t="s">
        <v>48</v>
      </c>
      <c r="B17" s="48">
        <f>+B8</f>
        <v>257587215</v>
      </c>
      <c r="C17" s="48">
        <f t="shared" si="3"/>
        <v>260163087.15</v>
      </c>
      <c r="D17" s="48" t="s">
        <v>9</v>
      </c>
      <c r="E17" s="48" t="s">
        <v>9</v>
      </c>
      <c r="F17" s="48" t="e">
        <f>+E17-D17</f>
        <v>#VALUE!</v>
      </c>
      <c r="G17" s="49" t="e">
        <f t="shared" si="2"/>
        <v>#VALUE!</v>
      </c>
    </row>
    <row r="18" spans="1:7" ht="15">
      <c r="A18" s="30" t="s">
        <v>9</v>
      </c>
      <c r="B18" s="48" t="s">
        <v>9</v>
      </c>
      <c r="C18" s="48" t="s">
        <v>9</v>
      </c>
      <c r="D18" s="48" t="s">
        <v>9</v>
      </c>
      <c r="E18" s="48" t="s">
        <v>9</v>
      </c>
      <c r="F18" s="48" t="s">
        <v>9</v>
      </c>
      <c r="G18" s="49" t="s">
        <v>9</v>
      </c>
    </row>
    <row r="19" spans="1:7" ht="15" hidden="1">
      <c r="A19" s="11" t="s">
        <v>15</v>
      </c>
      <c r="B19" s="56" t="s">
        <v>17</v>
      </c>
      <c r="C19" s="56" t="s">
        <v>17</v>
      </c>
      <c r="D19" s="56">
        <v>41283924</v>
      </c>
      <c r="E19" s="56">
        <v>63689234</v>
      </c>
      <c r="F19" s="56" t="s">
        <v>17</v>
      </c>
      <c r="G19" s="56" t="s">
        <v>17</v>
      </c>
    </row>
    <row r="20" spans="2:7" ht="15">
      <c r="B20" s="57"/>
      <c r="C20" s="57"/>
      <c r="D20" s="57"/>
      <c r="E20" s="57"/>
      <c r="F20" s="57"/>
      <c r="G20" s="57"/>
    </row>
    <row r="21" spans="1:7" ht="15">
      <c r="A21" s="37" t="s">
        <v>47</v>
      </c>
      <c r="B21" s="58"/>
      <c r="C21" s="58"/>
      <c r="D21" s="58"/>
      <c r="E21" s="58"/>
      <c r="F21" s="58" t="s">
        <v>94</v>
      </c>
      <c r="G21" s="59"/>
    </row>
    <row r="22" spans="1:7" s="6" customFormat="1" ht="30">
      <c r="A22" s="44" t="s">
        <v>44</v>
      </c>
      <c r="B22" s="60" t="s">
        <v>100</v>
      </c>
      <c r="C22" s="60" t="s">
        <v>45</v>
      </c>
      <c r="D22" s="60" t="s">
        <v>53</v>
      </c>
      <c r="E22" s="60" t="s">
        <v>43</v>
      </c>
      <c r="F22" s="61" t="s">
        <v>9</v>
      </c>
      <c r="G22" s="62"/>
    </row>
    <row r="23" spans="1:7" ht="15">
      <c r="A23" t="s">
        <v>35</v>
      </c>
      <c r="B23" s="65">
        <f>409645143+51005</f>
        <v>409696148</v>
      </c>
      <c r="C23" s="63">
        <f>+B23*1.01</f>
        <v>413793109.48</v>
      </c>
      <c r="D23" s="63">
        <v>0</v>
      </c>
      <c r="E23" s="63">
        <f>+C23+D23</f>
        <v>413793109.48</v>
      </c>
      <c r="F23" s="56" t="s">
        <v>9</v>
      </c>
      <c r="G23" s="57"/>
    </row>
    <row r="24" spans="1:7" ht="15">
      <c r="A24" t="s">
        <v>37</v>
      </c>
      <c r="B24" s="65">
        <v>22930967</v>
      </c>
      <c r="C24" s="63">
        <f>+B24*1.01</f>
        <v>23160276.67</v>
      </c>
      <c r="D24" s="63">
        <v>0</v>
      </c>
      <c r="E24" s="63">
        <f>+C24+D24</f>
        <v>23160276.67</v>
      </c>
      <c r="F24" s="57"/>
      <c r="G24" s="57"/>
    </row>
    <row r="25" spans="1:7" ht="15">
      <c r="A25" t="s">
        <v>38</v>
      </c>
      <c r="B25" s="65">
        <v>0</v>
      </c>
      <c r="C25" s="63">
        <f aca="true" t="shared" si="5" ref="C25:C29">+B25*1.01</f>
        <v>0</v>
      </c>
      <c r="D25" s="63">
        <v>0</v>
      </c>
      <c r="E25" s="63">
        <f aca="true" t="shared" si="6" ref="E25:E29">+C25+D25</f>
        <v>0</v>
      </c>
      <c r="F25" s="57"/>
      <c r="G25" s="57"/>
    </row>
    <row r="26" spans="1:7" ht="15">
      <c r="A26" t="s">
        <v>39</v>
      </c>
      <c r="B26" s="65">
        <v>65561587</v>
      </c>
      <c r="C26" s="63">
        <f t="shared" si="5"/>
        <v>66217202.87</v>
      </c>
      <c r="D26" s="63">
        <f>0.025*B26</f>
        <v>1639039.675</v>
      </c>
      <c r="E26" s="63">
        <f>+C26+D26</f>
        <v>67856242.545</v>
      </c>
      <c r="F26" s="56">
        <f>+B26*1.035</f>
        <v>67856242.545</v>
      </c>
      <c r="G26" s="57"/>
    </row>
    <row r="27" spans="1:7" ht="15">
      <c r="A27" t="s">
        <v>40</v>
      </c>
      <c r="B27" s="65">
        <v>133027376</v>
      </c>
      <c r="C27" s="63">
        <f t="shared" si="5"/>
        <v>134357649.76</v>
      </c>
      <c r="D27" s="63">
        <f>+B27*0.09864051</f>
        <v>13121888.21260176</v>
      </c>
      <c r="E27" s="63">
        <f t="shared" si="6"/>
        <v>147479537.97260174</v>
      </c>
      <c r="F27" s="56">
        <f>+B27*1.1086</f>
        <v>147474149.0336</v>
      </c>
      <c r="G27" s="57"/>
    </row>
    <row r="28" spans="1:7" ht="15">
      <c r="A28" t="s">
        <v>41</v>
      </c>
      <c r="B28" s="65">
        <v>35325956</v>
      </c>
      <c r="C28" s="63">
        <f t="shared" si="5"/>
        <v>35679215.56</v>
      </c>
      <c r="D28" s="63">
        <v>0</v>
      </c>
      <c r="E28" s="63">
        <f t="shared" si="6"/>
        <v>35679215.56</v>
      </c>
      <c r="F28" s="57"/>
      <c r="G28" s="57"/>
    </row>
    <row r="29" spans="1:7" ht="15">
      <c r="A29" t="s">
        <v>42</v>
      </c>
      <c r="B29" s="65">
        <v>135972848</v>
      </c>
      <c r="C29" s="63">
        <f t="shared" si="5"/>
        <v>137332576.48</v>
      </c>
      <c r="D29" s="63">
        <f>0.02*B29</f>
        <v>2719456.96</v>
      </c>
      <c r="E29" s="63">
        <f t="shared" si="6"/>
        <v>140052033.44</v>
      </c>
      <c r="F29" s="57"/>
      <c r="G29" s="57"/>
    </row>
    <row r="30" spans="1:7" ht="15">
      <c r="A30" t="s">
        <v>84</v>
      </c>
      <c r="B30" s="63">
        <v>1000000</v>
      </c>
      <c r="C30" s="63" t="s">
        <v>9</v>
      </c>
      <c r="D30" s="63"/>
      <c r="E30" s="63"/>
      <c r="F30" s="57"/>
      <c r="G30" s="57"/>
    </row>
    <row r="31" spans="1:7" ht="15">
      <c r="A31" s="51" t="s">
        <v>43</v>
      </c>
      <c r="B31" s="64">
        <f>+SUM(B23:B30)</f>
        <v>803514882</v>
      </c>
      <c r="C31" s="64">
        <f>+SUM(C23:C29)</f>
        <v>810540030.8199999</v>
      </c>
      <c r="D31" s="64">
        <f>+SUM(D23:D29)</f>
        <v>17480384.84760176</v>
      </c>
      <c r="E31" s="64">
        <f>+SUM(E23:E29)</f>
        <v>828020415.6676018</v>
      </c>
      <c r="F31" s="57"/>
      <c r="G31" s="57"/>
    </row>
    <row r="32" spans="1:7" ht="15">
      <c r="A32" t="s">
        <v>85</v>
      </c>
      <c r="B32" s="56">
        <f>+B31-B30</f>
        <v>802514882</v>
      </c>
      <c r="C32" s="57"/>
      <c r="D32" s="57"/>
      <c r="E32" s="56" t="s">
        <v>9</v>
      </c>
      <c r="F32" s="57"/>
      <c r="G32" s="57"/>
    </row>
    <row r="33" spans="2:7" ht="15">
      <c r="B33" s="57"/>
      <c r="C33" s="57"/>
      <c r="D33" s="57"/>
      <c r="E33" s="57"/>
      <c r="F33" s="57"/>
      <c r="G33" s="57"/>
    </row>
    <row r="34" spans="2:7" ht="15">
      <c r="B34" s="57"/>
      <c r="C34" s="57"/>
      <c r="D34" s="57"/>
      <c r="E34" s="57"/>
      <c r="F34" s="57"/>
      <c r="G34" s="57"/>
    </row>
    <row r="35" spans="1:7" ht="15">
      <c r="A35" s="50" t="s">
        <v>9</v>
      </c>
      <c r="B35" s="66" t="s">
        <v>98</v>
      </c>
      <c r="C35" s="58" t="s">
        <v>99</v>
      </c>
      <c r="D35" s="58" t="s">
        <v>9</v>
      </c>
      <c r="E35" s="58"/>
      <c r="F35" s="57"/>
      <c r="G35" s="57"/>
    </row>
    <row r="36" spans="1:8" ht="15">
      <c r="A36" t="s">
        <v>72</v>
      </c>
      <c r="B36" s="7">
        <v>401631676</v>
      </c>
      <c r="C36" s="56">
        <v>410236432</v>
      </c>
      <c r="D36" s="57"/>
      <c r="E36" s="57"/>
      <c r="F36" s="57"/>
      <c r="G36" s="57"/>
      <c r="H36" s="57"/>
    </row>
    <row r="37" spans="1:8" ht="15">
      <c r="A37" t="s">
        <v>73</v>
      </c>
      <c r="B37" s="7">
        <v>7558878</v>
      </c>
      <c r="C37" s="56">
        <v>7747829</v>
      </c>
      <c r="D37" s="57"/>
      <c r="E37" s="57"/>
      <c r="F37" s="57"/>
      <c r="G37" s="57"/>
      <c r="H37" s="57"/>
    </row>
    <row r="38" spans="1:8" ht="15">
      <c r="A38" t="s">
        <v>39</v>
      </c>
      <c r="B38" s="7">
        <v>3368065</v>
      </c>
      <c r="C38" s="56">
        <v>3452257</v>
      </c>
      <c r="D38" s="56" t="s">
        <v>9</v>
      </c>
      <c r="E38" s="57"/>
      <c r="F38" s="57"/>
      <c r="G38" s="57"/>
      <c r="H38" s="57"/>
    </row>
    <row r="39" spans="1:8" ht="15">
      <c r="A39" t="s">
        <v>74</v>
      </c>
      <c r="B39" s="7">
        <v>0</v>
      </c>
      <c r="C39" s="56">
        <v>0</v>
      </c>
      <c r="D39" s="57"/>
      <c r="E39" s="57"/>
      <c r="F39" s="57"/>
      <c r="G39" s="57"/>
      <c r="H39" s="57"/>
    </row>
    <row r="40" spans="1:8" ht="15">
      <c r="A40" t="s">
        <v>37</v>
      </c>
      <c r="B40" s="7">
        <v>22930967</v>
      </c>
      <c r="C40" s="56">
        <v>23504071</v>
      </c>
      <c r="D40" s="57"/>
      <c r="E40" s="57"/>
      <c r="F40" s="57"/>
      <c r="G40" s="57"/>
      <c r="H40" s="57"/>
    </row>
    <row r="41" spans="1:8" ht="15">
      <c r="A41" t="s">
        <v>40</v>
      </c>
      <c r="B41" s="7">
        <v>133027376</v>
      </c>
      <c r="C41" s="56">
        <v>149482910</v>
      </c>
      <c r="D41" s="57" t="s">
        <v>9</v>
      </c>
      <c r="E41" s="57"/>
      <c r="F41" s="57"/>
      <c r="G41" s="57"/>
      <c r="H41" s="57"/>
    </row>
    <row r="42" spans="1:8" ht="15">
      <c r="A42" t="s">
        <v>38</v>
      </c>
      <c r="B42" s="7">
        <v>0</v>
      </c>
      <c r="C42" s="56">
        <v>0</v>
      </c>
      <c r="D42" s="57" t="s">
        <v>9</v>
      </c>
      <c r="E42" s="57"/>
      <c r="F42" s="57"/>
      <c r="G42" s="57"/>
      <c r="H42" s="57"/>
    </row>
    <row r="43" spans="1:8" ht="15">
      <c r="A43" t="s">
        <v>75</v>
      </c>
      <c r="B43" s="7">
        <v>65561587</v>
      </c>
      <c r="C43" s="56">
        <v>68708783</v>
      </c>
      <c r="D43" s="57" t="s">
        <v>9</v>
      </c>
      <c r="E43" s="57"/>
      <c r="F43" s="57"/>
      <c r="G43" s="57"/>
      <c r="H43" s="57"/>
    </row>
    <row r="44" spans="1:8" ht="15">
      <c r="A44" t="s">
        <v>41</v>
      </c>
      <c r="B44" s="7">
        <v>35325956</v>
      </c>
      <c r="C44" s="56">
        <v>36208984</v>
      </c>
      <c r="D44" s="57" t="s">
        <v>9</v>
      </c>
      <c r="E44" s="57"/>
      <c r="F44" s="57"/>
      <c r="G44" s="57"/>
      <c r="H44" s="57"/>
    </row>
    <row r="45" spans="1:8" ht="15">
      <c r="A45" t="s">
        <v>42</v>
      </c>
      <c r="B45" s="7">
        <v>135972848</v>
      </c>
      <c r="C45" s="56">
        <v>142101639</v>
      </c>
      <c r="D45" s="57"/>
      <c r="E45" s="57"/>
      <c r="F45" s="57"/>
      <c r="G45" s="57"/>
      <c r="H45" s="57"/>
    </row>
    <row r="46" spans="1:8" ht="15">
      <c r="A46" t="s">
        <v>43</v>
      </c>
      <c r="B46" s="7">
        <f>+SUM(B36:B45)</f>
        <v>805377353</v>
      </c>
      <c r="C46" s="56">
        <f>+SUM(C36:C45)</f>
        <v>841442905</v>
      </c>
      <c r="D46" s="57"/>
      <c r="E46" s="57"/>
      <c r="F46" s="57"/>
      <c r="G46" s="57"/>
      <c r="H46" s="57"/>
    </row>
    <row r="47" spans="1:8" ht="15">
      <c r="A47" t="s">
        <v>90</v>
      </c>
      <c r="B47" s="7"/>
      <c r="C47" s="2">
        <f>+C46-1000000</f>
        <v>840442905</v>
      </c>
      <c r="H47" s="1"/>
    </row>
    <row r="48" ht="15">
      <c r="C48" s="2"/>
    </row>
    <row r="49" ht="15">
      <c r="C49" s="2"/>
    </row>
  </sheetData>
  <printOptions/>
  <pageMargins left="0.7" right="0.7" top="0.75" bottom="0.75" header="0.3" footer="0.3"/>
  <pageSetup fitToHeight="1" fitToWidth="1" horizontalDpi="600" verticalDpi="600" orientation="landscape" scale="69" r:id="rId3"/>
  <headerFooter>
    <oddHeader>&amp;L&amp;D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21"/>
  <sheetViews>
    <sheetView workbookViewId="0" topLeftCell="A1">
      <selection activeCell="E12" sqref="E12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30">
      <c r="A2" s="4" t="s">
        <v>1</v>
      </c>
      <c r="B2" s="5" t="s">
        <v>10</v>
      </c>
      <c r="C2" s="5" t="s">
        <v>11</v>
      </c>
      <c r="D2" s="5" t="s">
        <v>13</v>
      </c>
      <c r="E2" s="5" t="s">
        <v>14</v>
      </c>
      <c r="F2" s="5" t="s">
        <v>12</v>
      </c>
      <c r="G2" s="5" t="s">
        <v>2</v>
      </c>
    </row>
    <row r="3" spans="1:7" ht="15">
      <c r="A3" t="s">
        <v>0</v>
      </c>
      <c r="B3" s="2">
        <v>377275042</v>
      </c>
      <c r="C3" s="2">
        <f>1.01*B3</f>
        <v>381047792.42</v>
      </c>
      <c r="D3" s="2">
        <v>378627297</v>
      </c>
      <c r="E3" s="2">
        <v>385627142</v>
      </c>
      <c r="F3" s="2">
        <f>+C3-D3</f>
        <v>2420495.4200000167</v>
      </c>
      <c r="G3" s="3">
        <f>+F3/D3</f>
        <v>0.00639281805400316</v>
      </c>
    </row>
    <row r="4" spans="1:7" ht="15">
      <c r="A4" t="s">
        <v>3</v>
      </c>
      <c r="B4" s="2">
        <v>25928315</v>
      </c>
      <c r="C4" s="2">
        <f>1.01*B4</f>
        <v>26187598.15</v>
      </c>
      <c r="D4" s="2">
        <v>23473405</v>
      </c>
      <c r="E4" s="2">
        <v>24916238</v>
      </c>
      <c r="F4" s="2">
        <f>+E4-D4</f>
        <v>1442833</v>
      </c>
      <c r="G4" s="3">
        <f>+F4/D4</f>
        <v>0.06146671094372546</v>
      </c>
    </row>
    <row r="5" spans="1:7" ht="15">
      <c r="A5" t="s">
        <v>4</v>
      </c>
      <c r="B5" s="2">
        <v>87126302</v>
      </c>
      <c r="C5" s="2">
        <f>1.01*B5</f>
        <v>87997565.02</v>
      </c>
      <c r="D5" s="2">
        <v>67537651</v>
      </c>
      <c r="E5" s="2">
        <v>70057085</v>
      </c>
      <c r="F5" s="2">
        <f>+E5-D5</f>
        <v>2519434</v>
      </c>
      <c r="G5" s="3">
        <f>+F5/D5</f>
        <v>0.03730414017508545</v>
      </c>
    </row>
    <row r="6" spans="1:7" ht="15">
      <c r="A6" t="s">
        <v>5</v>
      </c>
      <c r="B6" s="2">
        <v>17505877</v>
      </c>
      <c r="C6" s="2">
        <f>1.01*B6</f>
        <v>17680935.77</v>
      </c>
      <c r="D6" s="2">
        <v>17566647</v>
      </c>
      <c r="E6" s="2">
        <v>17906469</v>
      </c>
      <c r="F6" s="2">
        <f>+C6-D6</f>
        <v>114288.76999999955</v>
      </c>
      <c r="G6" s="3">
        <f>+F6/D6</f>
        <v>0.006506009371054109</v>
      </c>
    </row>
    <row r="7" spans="1:7" ht="15">
      <c r="A7" t="s">
        <v>16</v>
      </c>
      <c r="B7" s="2" t="s">
        <v>17</v>
      </c>
      <c r="C7" s="2" t="s">
        <v>17</v>
      </c>
      <c r="D7" s="2">
        <v>93870870</v>
      </c>
      <c r="E7" s="2">
        <v>111265562</v>
      </c>
      <c r="F7" s="2" t="s">
        <v>17</v>
      </c>
      <c r="G7" s="3" t="s">
        <v>17</v>
      </c>
    </row>
    <row r="8" spans="1:7" s="7" customFormat="1" ht="15">
      <c r="A8" s="7" t="s">
        <v>15</v>
      </c>
      <c r="B8" s="2" t="s">
        <v>17</v>
      </c>
      <c r="C8" s="2" t="s">
        <v>17</v>
      </c>
      <c r="D8" s="2">
        <v>41283924</v>
      </c>
      <c r="E8" s="2">
        <v>62357037</v>
      </c>
      <c r="F8" s="2" t="s">
        <v>17</v>
      </c>
      <c r="G8" s="2" t="s">
        <v>17</v>
      </c>
    </row>
    <row r="10" spans="1:2" ht="15">
      <c r="A10" s="17" t="s">
        <v>19</v>
      </c>
      <c r="B10" s="18"/>
    </row>
    <row r="11" spans="1:7" ht="30">
      <c r="A11" s="15" t="s">
        <v>1</v>
      </c>
      <c r="B11" s="16" t="s">
        <v>10</v>
      </c>
      <c r="C11" s="16" t="s">
        <v>11</v>
      </c>
      <c r="D11" s="16" t="s">
        <v>13</v>
      </c>
      <c r="E11" s="16" t="s">
        <v>18</v>
      </c>
      <c r="F11" s="16" t="s">
        <v>12</v>
      </c>
      <c r="G11" s="16" t="s">
        <v>2</v>
      </c>
    </row>
    <row r="12" spans="1:7" ht="15">
      <c r="A12" s="8" t="s">
        <v>0</v>
      </c>
      <c r="B12" s="9">
        <v>377064987</v>
      </c>
      <c r="C12" s="9">
        <f>1.01*B12</f>
        <v>380835636.87</v>
      </c>
      <c r="D12" s="9">
        <v>419960132</v>
      </c>
      <c r="E12" s="9">
        <v>450928833</v>
      </c>
      <c r="F12" s="9">
        <f>+E12-D12-1816608-4161101</f>
        <v>24990992</v>
      </c>
      <c r="G12" s="10">
        <f>+F12/D12</f>
        <v>0.05950801063182826</v>
      </c>
    </row>
    <row r="13" spans="1:7" ht="15">
      <c r="A13" s="12" t="s">
        <v>3</v>
      </c>
      <c r="B13" s="13">
        <v>25524309</v>
      </c>
      <c r="C13" s="13">
        <f>1.01*B13</f>
        <v>25779552.09</v>
      </c>
      <c r="D13" s="13">
        <v>23473833</v>
      </c>
      <c r="E13" s="13">
        <v>25448548</v>
      </c>
      <c r="F13" s="13">
        <f>+E13-D13</f>
        <v>1974715</v>
      </c>
      <c r="G13" s="14">
        <f>+F13/D13</f>
        <v>0.08412409681878541</v>
      </c>
    </row>
    <row r="14" spans="1:7" ht="15">
      <c r="A14" s="8" t="s">
        <v>4</v>
      </c>
      <c r="B14" s="9">
        <v>85822015</v>
      </c>
      <c r="C14" s="9">
        <f>1.01*B14</f>
        <v>86680235.15</v>
      </c>
      <c r="D14" s="9">
        <v>67535938</v>
      </c>
      <c r="E14" s="9">
        <v>71725774</v>
      </c>
      <c r="F14" s="9">
        <f>+E14-D14</f>
        <v>4189836</v>
      </c>
      <c r="G14" s="10">
        <f>+F14/D14</f>
        <v>0.06203861416717126</v>
      </c>
    </row>
    <row r="15" spans="1:7" ht="15">
      <c r="A15" s="8" t="s">
        <v>5</v>
      </c>
      <c r="B15" s="9">
        <v>17505877</v>
      </c>
      <c r="C15" s="9">
        <f>1.01*B15</f>
        <v>17680935.77</v>
      </c>
      <c r="D15" s="9">
        <v>17566647</v>
      </c>
      <c r="E15" s="13">
        <v>17955638</v>
      </c>
      <c r="F15" s="9">
        <f>+C15-D15</f>
        <v>114288.76999999955</v>
      </c>
      <c r="G15" s="10">
        <f>+F15/D15</f>
        <v>0.006506009371054109</v>
      </c>
    </row>
    <row r="16" spans="1:7" ht="15">
      <c r="A16" s="8" t="s">
        <v>16</v>
      </c>
      <c r="B16" s="9" t="s">
        <v>17</v>
      </c>
      <c r="C16" s="9" t="s">
        <v>17</v>
      </c>
      <c r="D16" s="9">
        <v>93870870</v>
      </c>
      <c r="E16" s="9">
        <v>113641366</v>
      </c>
      <c r="F16" s="9">
        <f>+E16-D16</f>
        <v>19770496</v>
      </c>
      <c r="G16" s="10">
        <f>+F16/D16</f>
        <v>0.21061375057033135</v>
      </c>
    </row>
    <row r="17" spans="1:7" ht="15" hidden="1">
      <c r="A17" s="11" t="s">
        <v>15</v>
      </c>
      <c r="B17" s="9" t="s">
        <v>17</v>
      </c>
      <c r="C17" s="9" t="s">
        <v>17</v>
      </c>
      <c r="D17" s="9">
        <v>41283924</v>
      </c>
      <c r="E17" s="9">
        <v>63689234</v>
      </c>
      <c r="F17" s="9" t="s">
        <v>17</v>
      </c>
      <c r="G17" s="9" t="s">
        <v>17</v>
      </c>
    </row>
    <row r="20" ht="15">
      <c r="F20" s="2">
        <f>+F13-F4</f>
        <v>531882</v>
      </c>
    </row>
    <row r="21" ht="15">
      <c r="F21" s="2">
        <f>+F14-F5</f>
        <v>1670402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4"/>
  <sheetViews>
    <sheetView workbookViewId="0" topLeftCell="A1">
      <selection activeCell="C18" sqref="C18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30">
      <c r="A2" s="4" t="s">
        <v>1</v>
      </c>
      <c r="B2" s="5" t="s">
        <v>10</v>
      </c>
      <c r="C2" s="5" t="s">
        <v>11</v>
      </c>
      <c r="D2" s="5" t="s">
        <v>7</v>
      </c>
      <c r="E2" s="5" t="s">
        <v>8</v>
      </c>
      <c r="F2" s="5" t="s">
        <v>12</v>
      </c>
      <c r="G2" s="5" t="s">
        <v>2</v>
      </c>
    </row>
    <row r="3" spans="1:7" ht="15">
      <c r="A3" t="s">
        <v>0</v>
      </c>
      <c r="B3" s="2">
        <v>371394744</v>
      </c>
      <c r="C3" s="2">
        <f>1.01*B3</f>
        <v>375108691.44</v>
      </c>
      <c r="D3" s="2">
        <f>385867611-11212493</f>
        <v>374655118</v>
      </c>
      <c r="E3" s="2">
        <f>379657196+18573917+21962402</f>
        <v>420193515</v>
      </c>
      <c r="F3" s="2">
        <f>+C3-D3</f>
        <v>453573.4399999976</v>
      </c>
      <c r="G3" s="3">
        <f>+F3/D3</f>
        <v>0.0012106425835613371</v>
      </c>
    </row>
    <row r="4" spans="1:7" ht="15">
      <c r="A4" t="s">
        <v>3</v>
      </c>
      <c r="B4" s="2">
        <v>25524309</v>
      </c>
      <c r="C4" s="2">
        <f>1.01*B4</f>
        <v>25779552.09</v>
      </c>
      <c r="D4" s="2">
        <v>23823382</v>
      </c>
      <c r="E4" s="2">
        <v>23531144</v>
      </c>
      <c r="F4" s="2">
        <f>+E4-D4</f>
        <v>-292238</v>
      </c>
      <c r="G4" s="3">
        <f>+F4/D4</f>
        <v>-0.012266856149979041</v>
      </c>
    </row>
    <row r="5" spans="1:7" ht="15">
      <c r="A5" t="s">
        <v>4</v>
      </c>
      <c r="B5" s="2">
        <v>85822015</v>
      </c>
      <c r="C5" s="2">
        <f>1.01*B5</f>
        <v>86680235.15</v>
      </c>
      <c r="D5" s="2">
        <v>73706592</v>
      </c>
      <c r="E5" s="2">
        <v>67590982</v>
      </c>
      <c r="F5" s="2">
        <f>+E5-D5</f>
        <v>-6115610</v>
      </c>
      <c r="G5" s="3">
        <f>+F5/D5</f>
        <v>-0.0829723615494256</v>
      </c>
    </row>
    <row r="6" spans="1:7" ht="15">
      <c r="A6" t="s">
        <v>5</v>
      </c>
      <c r="B6" s="2">
        <v>17222689</v>
      </c>
      <c r="C6" s="2">
        <f>1.01*B6</f>
        <v>17394915.89</v>
      </c>
      <c r="D6" s="2">
        <v>17416782</v>
      </c>
      <c r="E6" s="2">
        <v>17566655</v>
      </c>
      <c r="F6" s="2">
        <f>+C6-D6</f>
        <v>-21866.109999999404</v>
      </c>
      <c r="G6" s="3">
        <f>+F6/D6</f>
        <v>-0.001255462116939823</v>
      </c>
    </row>
    <row r="7" spans="1:7" ht="15">
      <c r="A7" t="s">
        <v>6</v>
      </c>
      <c r="B7" s="2">
        <v>105289842</v>
      </c>
      <c r="C7" s="2">
        <f>1.01*B7</f>
        <v>106342740.42</v>
      </c>
      <c r="D7" s="2">
        <v>95268834</v>
      </c>
      <c r="E7" s="2">
        <v>94101896</v>
      </c>
      <c r="F7" s="2">
        <f>+E7-D7</f>
        <v>-1166938</v>
      </c>
      <c r="G7" s="3">
        <f>+F7/D7</f>
        <v>-0.01224889558320825</v>
      </c>
    </row>
    <row r="14" ht="15">
      <c r="E14" s="1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F4C63-51F7-4C65-9D8A-3E5D018FCF0D}">
  <sheetPr>
    <pageSetUpPr fitToPage="1"/>
  </sheetPr>
  <dimension ref="A1:H47"/>
  <sheetViews>
    <sheetView workbookViewId="0" topLeftCell="A12">
      <selection activeCell="B24" sqref="B24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86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87</v>
      </c>
      <c r="E2" s="22" t="s">
        <v>88</v>
      </c>
      <c r="F2" s="22" t="s">
        <v>12</v>
      </c>
      <c r="G2" s="22" t="s">
        <v>2</v>
      </c>
    </row>
    <row r="3" spans="1:7" ht="15">
      <c r="A3" s="23" t="s">
        <v>0</v>
      </c>
      <c r="B3" s="31">
        <f>743589175-75846946-27321447</f>
        <v>640420782</v>
      </c>
      <c r="C3" s="48">
        <f>+E31+C45</f>
        <v>790171751.176</v>
      </c>
      <c r="D3" s="31">
        <f>+B46</f>
        <v>744490963</v>
      </c>
      <c r="E3" s="48">
        <f>+C46</f>
        <v>800509174</v>
      </c>
      <c r="F3" s="48">
        <f>+C3-D3</f>
        <v>45680788.176</v>
      </c>
      <c r="G3" s="49">
        <f aca="true" t="shared" si="0" ref="G3:G8">+F3/D3</f>
        <v>0.06135841863267855</v>
      </c>
    </row>
    <row r="4" spans="1:7" ht="15">
      <c r="A4" s="23" t="s">
        <v>3</v>
      </c>
      <c r="B4" s="31">
        <v>30947074</v>
      </c>
      <c r="C4" s="31">
        <f>1.01*B4</f>
        <v>31256544.740000002</v>
      </c>
      <c r="D4" s="31">
        <v>30985949</v>
      </c>
      <c r="E4" s="31">
        <v>31749369</v>
      </c>
      <c r="F4" s="31">
        <f>+C4-D4</f>
        <v>270595.7400000021</v>
      </c>
      <c r="G4" s="32">
        <f t="shared" si="0"/>
        <v>0.00873285307479213</v>
      </c>
    </row>
    <row r="5" spans="1:7" ht="15">
      <c r="A5" s="23" t="s">
        <v>4</v>
      </c>
      <c r="B5" s="31">
        <v>94490023</v>
      </c>
      <c r="C5" s="31">
        <f>1.01*B5</f>
        <v>95434923.23</v>
      </c>
      <c r="D5" s="31">
        <v>94573079</v>
      </c>
      <c r="E5" s="31">
        <v>96137113</v>
      </c>
      <c r="F5" s="31">
        <f>+C5-D5</f>
        <v>861844.2300000042</v>
      </c>
      <c r="G5" s="32">
        <f t="shared" si="0"/>
        <v>0.009112997473625704</v>
      </c>
    </row>
    <row r="6" spans="1:7" ht="15">
      <c r="A6" s="23" t="s">
        <v>5</v>
      </c>
      <c r="B6" s="31">
        <v>21829488</v>
      </c>
      <c r="C6" s="31">
        <f>1.01*B6</f>
        <v>22047782.88</v>
      </c>
      <c r="D6" s="31">
        <v>21858694</v>
      </c>
      <c r="E6" s="31">
        <v>22398188</v>
      </c>
      <c r="F6" s="31">
        <f>+C6-D6</f>
        <v>189088.87999999896</v>
      </c>
      <c r="G6" s="32">
        <f t="shared" si="0"/>
        <v>0.008650511325150484</v>
      </c>
    </row>
    <row r="7" spans="1:7" ht="15">
      <c r="A7" s="23" t="s">
        <v>6</v>
      </c>
      <c r="B7" s="31">
        <v>173903481</v>
      </c>
      <c r="C7" s="31">
        <f>1.01*B7</f>
        <v>175642515.81</v>
      </c>
      <c r="D7" s="31">
        <v>173903481</v>
      </c>
      <c r="E7" s="31">
        <v>178399463</v>
      </c>
      <c r="F7" s="31">
        <f>+C7-D7</f>
        <v>1739034.8100000024</v>
      </c>
      <c r="G7" s="32">
        <f t="shared" si="0"/>
        <v>0.010000000000000014</v>
      </c>
    </row>
    <row r="8" spans="1:7" ht="15">
      <c r="A8" s="23" t="s">
        <v>48</v>
      </c>
      <c r="B8" s="31">
        <v>257587215</v>
      </c>
      <c r="C8" s="31">
        <f>1.01*B8</f>
        <v>260163087.15</v>
      </c>
      <c r="D8" s="31">
        <v>6461231</v>
      </c>
      <c r="E8" s="31">
        <f>+D8*1.01</f>
        <v>6525843.3100000005</v>
      </c>
      <c r="F8" s="31">
        <f>+E8-D8</f>
        <v>64612.31000000052</v>
      </c>
      <c r="G8" s="32">
        <f t="shared" si="0"/>
        <v>0.01000000000000008</v>
      </c>
    </row>
    <row r="9" spans="1:7" ht="15">
      <c r="A9" s="23" t="s">
        <v>9</v>
      </c>
      <c r="B9" s="52"/>
      <c r="C9" s="52"/>
      <c r="D9" s="48" t="s">
        <v>9</v>
      </c>
      <c r="E9" s="52"/>
      <c r="F9" s="52"/>
      <c r="G9" s="52"/>
    </row>
    <row r="10" spans="1:7" ht="15">
      <c r="A10" s="19" t="s">
        <v>91</v>
      </c>
      <c r="B10" s="53"/>
      <c r="C10" s="54"/>
      <c r="D10" s="54"/>
      <c r="E10" s="54"/>
      <c r="F10" s="54"/>
      <c r="G10" s="54"/>
    </row>
    <row r="11" spans="1:7" ht="75">
      <c r="A11" s="28" t="s">
        <v>1</v>
      </c>
      <c r="B11" s="55" t="s">
        <v>10</v>
      </c>
      <c r="C11" s="55" t="s">
        <v>24</v>
      </c>
      <c r="D11" s="55" t="str">
        <f aca="true" t="shared" si="1" ref="D11">+D2</f>
        <v>2021 levy</v>
      </c>
      <c r="E11" s="55" t="s">
        <v>83</v>
      </c>
      <c r="F11" s="55" t="s">
        <v>12</v>
      </c>
      <c r="G11" s="55" t="s">
        <v>2</v>
      </c>
    </row>
    <row r="12" spans="1:7" ht="15">
      <c r="A12" s="30" t="s">
        <v>0</v>
      </c>
      <c r="B12" s="48">
        <f>+B3</f>
        <v>640420782</v>
      </c>
      <c r="C12" s="48">
        <f>+E31</f>
        <v>656515149.176</v>
      </c>
      <c r="D12" s="48" t="s">
        <v>9</v>
      </c>
      <c r="E12" s="48" t="s">
        <v>9</v>
      </c>
      <c r="F12" s="48" t="e">
        <f>+C12-D12</f>
        <v>#VALUE!</v>
      </c>
      <c r="G12" s="49" t="e">
        <f aca="true" t="shared" si="2" ref="G12:G17">+F12/D12</f>
        <v>#VALUE!</v>
      </c>
    </row>
    <row r="13" spans="1:7" s="34" customFormat="1" ht="15">
      <c r="A13" s="30" t="s">
        <v>3</v>
      </c>
      <c r="B13" s="48">
        <f>+B4</f>
        <v>30947074</v>
      </c>
      <c r="C13" s="48">
        <f aca="true" t="shared" si="3" ref="C13:C17">1.01*B13</f>
        <v>31256544.740000002</v>
      </c>
      <c r="D13" s="48" t="s">
        <v>9</v>
      </c>
      <c r="E13" s="48" t="s">
        <v>9</v>
      </c>
      <c r="F13" s="48" t="e">
        <f>+C13-D13</f>
        <v>#VALUE!</v>
      </c>
      <c r="G13" s="49" t="e">
        <f t="shared" si="2"/>
        <v>#VALUE!</v>
      </c>
    </row>
    <row r="14" spans="1:7" ht="15">
      <c r="A14" s="30" t="s">
        <v>4</v>
      </c>
      <c r="B14" s="48">
        <f aca="true" t="shared" si="4" ref="B14:B16">+B5</f>
        <v>94490023</v>
      </c>
      <c r="C14" s="48">
        <f t="shared" si="3"/>
        <v>95434923.23</v>
      </c>
      <c r="D14" s="48" t="s">
        <v>9</v>
      </c>
      <c r="E14" s="48" t="s">
        <v>9</v>
      </c>
      <c r="F14" s="48" t="e">
        <f>+C14-D14</f>
        <v>#VALUE!</v>
      </c>
      <c r="G14" s="49" t="e">
        <f t="shared" si="2"/>
        <v>#VALUE!</v>
      </c>
    </row>
    <row r="15" spans="1:7" ht="15">
      <c r="A15" s="30" t="s">
        <v>5</v>
      </c>
      <c r="B15" s="48">
        <f t="shared" si="4"/>
        <v>21829488</v>
      </c>
      <c r="C15" s="48">
        <f t="shared" si="3"/>
        <v>22047782.88</v>
      </c>
      <c r="D15" s="48" t="s">
        <v>9</v>
      </c>
      <c r="E15" s="48" t="s">
        <v>9</v>
      </c>
      <c r="F15" s="48" t="e">
        <f>+C15-D15</f>
        <v>#VALUE!</v>
      </c>
      <c r="G15" s="49" t="e">
        <f t="shared" si="2"/>
        <v>#VALUE!</v>
      </c>
    </row>
    <row r="16" spans="1:7" ht="15">
      <c r="A16" s="30" t="s">
        <v>6</v>
      </c>
      <c r="B16" s="48">
        <f t="shared" si="4"/>
        <v>173903481</v>
      </c>
      <c r="C16" s="48">
        <f t="shared" si="3"/>
        <v>175642515.81</v>
      </c>
      <c r="D16" s="48" t="s">
        <v>9</v>
      </c>
      <c r="E16" s="48" t="s">
        <v>9</v>
      </c>
      <c r="F16" s="48" t="e">
        <f>+E16-D16</f>
        <v>#VALUE!</v>
      </c>
      <c r="G16" s="49" t="e">
        <f t="shared" si="2"/>
        <v>#VALUE!</v>
      </c>
    </row>
    <row r="17" spans="1:7" ht="15">
      <c r="A17" s="30" t="s">
        <v>48</v>
      </c>
      <c r="B17" s="48">
        <f>+B8</f>
        <v>257587215</v>
      </c>
      <c r="C17" s="48">
        <f t="shared" si="3"/>
        <v>260163087.15</v>
      </c>
      <c r="D17" s="48" t="s">
        <v>9</v>
      </c>
      <c r="E17" s="48" t="s">
        <v>9</v>
      </c>
      <c r="F17" s="48" t="e">
        <f>+E17-D17</f>
        <v>#VALUE!</v>
      </c>
      <c r="G17" s="49" t="e">
        <f t="shared" si="2"/>
        <v>#VALUE!</v>
      </c>
    </row>
    <row r="18" spans="1:7" ht="15">
      <c r="A18" s="30" t="s">
        <v>9</v>
      </c>
      <c r="B18" s="48" t="s">
        <v>9</v>
      </c>
      <c r="C18" s="48" t="s">
        <v>9</v>
      </c>
      <c r="D18" s="48" t="s">
        <v>9</v>
      </c>
      <c r="E18" s="48" t="s">
        <v>9</v>
      </c>
      <c r="F18" s="48" t="s">
        <v>9</v>
      </c>
      <c r="G18" s="49" t="s">
        <v>9</v>
      </c>
    </row>
    <row r="19" spans="1:7" ht="15" hidden="1">
      <c r="A19" s="11" t="s">
        <v>15</v>
      </c>
      <c r="B19" s="56" t="s">
        <v>17</v>
      </c>
      <c r="C19" s="56" t="s">
        <v>17</v>
      </c>
      <c r="D19" s="56">
        <v>41283924</v>
      </c>
      <c r="E19" s="56">
        <v>63689234</v>
      </c>
      <c r="F19" s="56" t="s">
        <v>17</v>
      </c>
      <c r="G19" s="56" t="s">
        <v>17</v>
      </c>
    </row>
    <row r="20" spans="2:7" ht="15">
      <c r="B20" s="57"/>
      <c r="C20" s="57"/>
      <c r="D20" s="57"/>
      <c r="E20" s="57"/>
      <c r="F20" s="57"/>
      <c r="G20" s="57"/>
    </row>
    <row r="21" spans="1:7" ht="15">
      <c r="A21" s="37" t="s">
        <v>47</v>
      </c>
      <c r="B21" s="58"/>
      <c r="C21" s="58"/>
      <c r="D21" s="58"/>
      <c r="E21" s="58"/>
      <c r="F21" s="58" t="s">
        <v>94</v>
      </c>
      <c r="G21" s="59"/>
    </row>
    <row r="22" spans="1:7" s="6" customFormat="1" ht="30">
      <c r="A22" s="44" t="s">
        <v>44</v>
      </c>
      <c r="B22" s="60" t="s">
        <v>89</v>
      </c>
      <c r="C22" s="60" t="s">
        <v>45</v>
      </c>
      <c r="D22" s="60" t="s">
        <v>53</v>
      </c>
      <c r="E22" s="60" t="s">
        <v>43</v>
      </c>
      <c r="F22" s="61" t="s">
        <v>9</v>
      </c>
      <c r="G22" s="62"/>
    </row>
    <row r="23" spans="1:7" ht="15">
      <c r="A23" t="s">
        <v>35</v>
      </c>
      <c r="B23" s="65">
        <v>399431483</v>
      </c>
      <c r="C23" s="63">
        <f>+B23*1.01</f>
        <v>403425797.83</v>
      </c>
      <c r="D23" s="63">
        <v>0</v>
      </c>
      <c r="E23" s="63">
        <f>+C23+D23</f>
        <v>403425797.83</v>
      </c>
      <c r="F23" s="56" t="s">
        <v>9</v>
      </c>
      <c r="G23" s="57"/>
    </row>
    <row r="24" spans="1:7" ht="15">
      <c r="A24" t="s">
        <v>37</v>
      </c>
      <c r="B24" s="65">
        <v>22359967</v>
      </c>
      <c r="C24" s="63">
        <f>+B24*1.01</f>
        <v>22583566.67</v>
      </c>
      <c r="D24" s="63">
        <v>0</v>
      </c>
      <c r="E24" s="63">
        <f>+C24+D24</f>
        <v>22583566.67</v>
      </c>
      <c r="F24" s="57"/>
      <c r="G24" s="57"/>
    </row>
    <row r="25" spans="1:7" ht="15">
      <c r="A25" t="s">
        <v>38</v>
      </c>
      <c r="B25" s="65">
        <v>0</v>
      </c>
      <c r="C25" s="63">
        <f aca="true" t="shared" si="5" ref="C25:C29">+B25*1.01</f>
        <v>0</v>
      </c>
      <c r="D25" s="63">
        <v>0</v>
      </c>
      <c r="E25" s="63">
        <f aca="true" t="shared" si="6" ref="E25:E29">+C25+D25</f>
        <v>0</v>
      </c>
      <c r="F25" s="57"/>
      <c r="G25" s="57"/>
    </row>
    <row r="26" spans="1:7" ht="15">
      <c r="A26" t="s">
        <v>39</v>
      </c>
      <c r="B26" s="65">
        <v>62402711</v>
      </c>
      <c r="C26" s="63">
        <f t="shared" si="5"/>
        <v>63026738.11</v>
      </c>
      <c r="D26" s="63">
        <f>0.025*B26</f>
        <v>1560067.7750000001</v>
      </c>
      <c r="E26" s="63">
        <f>+C26+D26</f>
        <v>64586805.885</v>
      </c>
      <c r="F26" s="56">
        <f>+B26*1.035</f>
        <v>64586805.885</v>
      </c>
      <c r="G26" s="57"/>
    </row>
    <row r="27" spans="1:7" ht="15">
      <c r="A27" t="s">
        <v>40</v>
      </c>
      <c r="B27" s="65">
        <v>121753203</v>
      </c>
      <c r="C27" s="63">
        <f t="shared" si="5"/>
        <v>122970735.03</v>
      </c>
      <c r="D27" s="63">
        <f>+B27*0.067</f>
        <v>8157464.601000001</v>
      </c>
      <c r="E27" s="63">
        <f t="shared" si="6"/>
        <v>131128199.631</v>
      </c>
      <c r="F27" s="56">
        <f>+B27*1.077</f>
        <v>131128199.631</v>
      </c>
      <c r="G27" s="57"/>
    </row>
    <row r="28" spans="1:7" ht="15">
      <c r="A28" t="s">
        <v>41</v>
      </c>
      <c r="B28" s="65">
        <v>34446316</v>
      </c>
      <c r="C28" s="63">
        <f t="shared" si="5"/>
        <v>34790779.160000004</v>
      </c>
      <c r="D28" s="63">
        <v>0</v>
      </c>
      <c r="E28" s="63">
        <f t="shared" si="6"/>
        <v>34790779.160000004</v>
      </c>
      <c r="F28" s="57"/>
      <c r="G28" s="57"/>
    </row>
    <row r="29" spans="1:7" ht="15">
      <c r="A29" t="s">
        <v>42</v>
      </c>
      <c r="B29" s="65">
        <v>0</v>
      </c>
      <c r="C29" s="63">
        <f t="shared" si="5"/>
        <v>0</v>
      </c>
      <c r="D29" s="63">
        <f>0.02*B29</f>
        <v>0</v>
      </c>
      <c r="E29" s="63">
        <f t="shared" si="6"/>
        <v>0</v>
      </c>
      <c r="F29" s="57"/>
      <c r="G29" s="57"/>
    </row>
    <row r="30" spans="1:7" ht="15">
      <c r="A30" t="s">
        <v>84</v>
      </c>
      <c r="B30" s="63">
        <v>1000000</v>
      </c>
      <c r="C30" s="63" t="s">
        <v>9</v>
      </c>
      <c r="D30" s="63"/>
      <c r="E30" s="63"/>
      <c r="F30" s="57"/>
      <c r="G30" s="57"/>
    </row>
    <row r="31" spans="1:7" ht="15">
      <c r="A31" s="51" t="s">
        <v>43</v>
      </c>
      <c r="B31" s="64">
        <f>+SUM(B23:B30)</f>
        <v>641393680</v>
      </c>
      <c r="C31" s="64">
        <f>+SUM(C23:C29)</f>
        <v>646797616.8</v>
      </c>
      <c r="D31" s="64">
        <f>+SUM(D23:D29)</f>
        <v>9717532.376</v>
      </c>
      <c r="E31" s="64">
        <f>+SUM(E23:E29)</f>
        <v>656515149.176</v>
      </c>
      <c r="F31" s="57"/>
      <c r="G31" s="57"/>
    </row>
    <row r="32" spans="1:7" ht="15">
      <c r="A32" t="s">
        <v>85</v>
      </c>
      <c r="B32" s="56">
        <f>+B31-B30</f>
        <v>640393680</v>
      </c>
      <c r="C32" s="57"/>
      <c r="D32" s="57"/>
      <c r="E32" s="56" t="s">
        <v>9</v>
      </c>
      <c r="F32" s="57"/>
      <c r="G32" s="57"/>
    </row>
    <row r="33" spans="2:7" ht="15">
      <c r="B33" s="57"/>
      <c r="C33" s="57"/>
      <c r="D33" s="57"/>
      <c r="E33" s="57"/>
      <c r="F33" s="57"/>
      <c r="G33" s="57"/>
    </row>
    <row r="34" spans="2:7" ht="15">
      <c r="B34" s="57"/>
      <c r="C34" s="57"/>
      <c r="D34" s="57"/>
      <c r="E34" s="57"/>
      <c r="F34" s="57"/>
      <c r="G34" s="57"/>
    </row>
    <row r="35" spans="1:7" ht="15">
      <c r="A35" s="50" t="s">
        <v>9</v>
      </c>
      <c r="B35" s="66" t="s">
        <v>93</v>
      </c>
      <c r="C35" s="58" t="s">
        <v>92</v>
      </c>
      <c r="D35" s="58" t="s">
        <v>9</v>
      </c>
      <c r="E35" s="58"/>
      <c r="F35" s="57"/>
      <c r="G35" s="57"/>
    </row>
    <row r="36" spans="1:8" ht="15">
      <c r="A36" t="s">
        <v>72</v>
      </c>
      <c r="B36" s="7">
        <v>389618952</v>
      </c>
      <c r="C36" s="56">
        <v>399320108</v>
      </c>
      <c r="D36" s="57"/>
      <c r="E36" s="57"/>
      <c r="F36" s="57"/>
      <c r="G36" s="57"/>
      <c r="H36" s="57"/>
    </row>
    <row r="37" spans="1:8" ht="15">
      <c r="A37" t="s">
        <v>73</v>
      </c>
      <c r="B37" s="7">
        <v>7371146</v>
      </c>
      <c r="C37" s="56">
        <v>7552456</v>
      </c>
      <c r="D37" s="57"/>
      <c r="E37" s="57"/>
      <c r="F37" s="57"/>
      <c r="G37" s="57"/>
      <c r="H37" s="57"/>
    </row>
    <row r="38" spans="1:8" ht="15">
      <c r="A38" t="s">
        <v>39</v>
      </c>
      <c r="B38" s="7">
        <v>3284416</v>
      </c>
      <c r="C38" s="56">
        <v>3365204</v>
      </c>
      <c r="D38" s="56" t="s">
        <v>9</v>
      </c>
      <c r="E38" s="57"/>
      <c r="F38" s="57"/>
      <c r="G38" s="57"/>
      <c r="H38" s="57"/>
    </row>
    <row r="39" spans="1:8" ht="15">
      <c r="A39" t="s">
        <v>74</v>
      </c>
      <c r="B39" s="7">
        <v>0</v>
      </c>
      <c r="C39" s="56">
        <v>0</v>
      </c>
      <c r="D39" s="57"/>
      <c r="E39" s="57"/>
      <c r="F39" s="57"/>
      <c r="G39" s="57"/>
      <c r="H39" s="57"/>
    </row>
    <row r="40" spans="1:8" ht="15">
      <c r="A40" t="s">
        <v>37</v>
      </c>
      <c r="B40" s="7">
        <v>22359967</v>
      </c>
      <c r="C40" s="56">
        <v>22909929</v>
      </c>
      <c r="D40" s="57"/>
      <c r="E40" s="57"/>
      <c r="F40" s="57"/>
      <c r="G40" s="57"/>
      <c r="H40" s="57"/>
    </row>
    <row r="41" spans="1:8" ht="15">
      <c r="A41" t="s">
        <v>40</v>
      </c>
      <c r="B41" s="7">
        <v>121752034</v>
      </c>
      <c r="C41" s="56">
        <v>132908776</v>
      </c>
      <c r="D41" s="57" t="s">
        <v>9</v>
      </c>
      <c r="E41" s="57"/>
      <c r="F41" s="57"/>
      <c r="G41" s="57"/>
      <c r="H41" s="57"/>
    </row>
    <row r="42" spans="1:8" ht="15">
      <c r="A42" t="s">
        <v>38</v>
      </c>
      <c r="B42" s="7">
        <v>27321447</v>
      </c>
      <c r="C42" s="56">
        <v>0</v>
      </c>
      <c r="D42" s="57" t="s">
        <v>9</v>
      </c>
      <c r="E42" s="57"/>
      <c r="F42" s="57"/>
      <c r="G42" s="57"/>
      <c r="H42" s="57"/>
    </row>
    <row r="43" spans="1:8" ht="15">
      <c r="A43" t="s">
        <v>75</v>
      </c>
      <c r="B43" s="7">
        <v>62489739</v>
      </c>
      <c r="C43" s="56">
        <v>65502554</v>
      </c>
      <c r="D43" s="57" t="s">
        <v>9</v>
      </c>
      <c r="E43" s="57"/>
      <c r="F43" s="57"/>
      <c r="G43" s="57"/>
      <c r="H43" s="57"/>
    </row>
    <row r="44" spans="1:8" ht="15">
      <c r="A44" t="s">
        <v>41</v>
      </c>
      <c r="B44" s="7">
        <v>34446316</v>
      </c>
      <c r="C44" s="56">
        <v>35293545</v>
      </c>
      <c r="D44" s="57" t="s">
        <v>9</v>
      </c>
      <c r="E44" s="57"/>
      <c r="F44" s="57"/>
      <c r="G44" s="57"/>
      <c r="H44" s="57"/>
    </row>
    <row r="45" spans="1:8" ht="15">
      <c r="A45" t="s">
        <v>42</v>
      </c>
      <c r="B45" s="7">
        <v>75846946</v>
      </c>
      <c r="C45" s="56">
        <v>133656602</v>
      </c>
      <c r="D45" s="57"/>
      <c r="E45" s="57"/>
      <c r="F45" s="57"/>
      <c r="G45" s="57"/>
      <c r="H45" s="57"/>
    </row>
    <row r="46" spans="1:8" ht="15">
      <c r="A46" t="s">
        <v>43</v>
      </c>
      <c r="B46" s="7">
        <f>+SUM(B36:B45)</f>
        <v>744490963</v>
      </c>
      <c r="C46" s="56">
        <f>+SUM(C36:C45)</f>
        <v>800509174</v>
      </c>
      <c r="D46" s="57"/>
      <c r="E46" s="57"/>
      <c r="F46" s="57"/>
      <c r="G46" s="57"/>
      <c r="H46" s="57"/>
    </row>
    <row r="47" spans="1:8" ht="15">
      <c r="A47" t="s">
        <v>90</v>
      </c>
      <c r="B47" s="7"/>
      <c r="C47" s="2">
        <f>+C46-1000000</f>
        <v>799509174</v>
      </c>
      <c r="H47" s="1"/>
    </row>
  </sheetData>
  <printOptions/>
  <pageMargins left="0.7" right="0.7" top="0.75" bottom="0.75" header="0.3" footer="0.3"/>
  <pageSetup fitToHeight="1" fitToWidth="1" horizontalDpi="600" verticalDpi="600" orientation="landscape" scale="69" r:id="rId3"/>
  <headerFooter>
    <oddHeader>&amp;L&amp;D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workbookViewId="0" topLeftCell="A1">
      <selection activeCell="B3" sqref="B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79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80</v>
      </c>
      <c r="E2" s="22" t="s">
        <v>82</v>
      </c>
      <c r="F2" s="22" t="s">
        <v>12</v>
      </c>
      <c r="G2" s="22" t="s">
        <v>2</v>
      </c>
    </row>
    <row r="3" spans="1:7" ht="15">
      <c r="A3" s="23" t="s">
        <v>0</v>
      </c>
      <c r="B3" s="31">
        <f>719355572-50000</f>
        <v>719305572</v>
      </c>
      <c r="C3" s="31">
        <f>+E31</f>
        <v>731171387.41361</v>
      </c>
      <c r="D3" s="31">
        <v>720776127</v>
      </c>
      <c r="E3" s="48">
        <v>742027510</v>
      </c>
      <c r="F3" s="48">
        <f>+C3-D3</f>
        <v>10395260.413609982</v>
      </c>
      <c r="G3" s="49">
        <f aca="true" t="shared" si="0" ref="G3:G8">+F3/D3</f>
        <v>0.014422315090924178</v>
      </c>
    </row>
    <row r="4" spans="1:7" ht="15">
      <c r="A4" s="23" t="s">
        <v>3</v>
      </c>
      <c r="B4" s="31">
        <v>30126134</v>
      </c>
      <c r="C4" s="31">
        <f>1.01*B4</f>
        <v>30427395.34</v>
      </c>
      <c r="D4" s="31">
        <v>30184815</v>
      </c>
      <c r="E4" s="48">
        <v>30879327.579463426</v>
      </c>
      <c r="F4" s="48">
        <f>+C4-D4</f>
        <v>242580.33999999985</v>
      </c>
      <c r="G4" s="49">
        <f t="shared" si="0"/>
        <v>0.008036502459928936</v>
      </c>
    </row>
    <row r="5" spans="1:7" ht="15">
      <c r="A5" s="23" t="s">
        <v>4</v>
      </c>
      <c r="B5" s="31">
        <v>92864520</v>
      </c>
      <c r="C5" s="31">
        <f>1.01*B5</f>
        <v>93793165.2</v>
      </c>
      <c r="D5" s="31">
        <v>92987997</v>
      </c>
      <c r="E5" s="48">
        <v>94532602.8549102</v>
      </c>
      <c r="F5" s="48">
        <f>+C5-D5</f>
        <v>805168.200000003</v>
      </c>
      <c r="G5" s="49">
        <f t="shared" si="0"/>
        <v>0.008658840129656765</v>
      </c>
    </row>
    <row r="6" spans="1:7" ht="15">
      <c r="A6" s="23" t="s">
        <v>5</v>
      </c>
      <c r="B6" s="31">
        <v>21250347</v>
      </c>
      <c r="C6" s="31">
        <f>1.01*B6</f>
        <v>21462850.47</v>
      </c>
      <c r="D6" s="31">
        <v>21297118</v>
      </c>
      <c r="E6" s="48">
        <v>21786311.457687788</v>
      </c>
      <c r="F6" s="48">
        <f>+C6-D6</f>
        <v>165732.4699999988</v>
      </c>
      <c r="G6" s="49">
        <f t="shared" si="0"/>
        <v>0.007781920070123986</v>
      </c>
    </row>
    <row r="7" spans="1:7" ht="15">
      <c r="A7" s="23" t="s">
        <v>6</v>
      </c>
      <c r="B7" s="31">
        <v>169422245</v>
      </c>
      <c r="C7" s="31">
        <f>1.01*B7</f>
        <v>171116467.45</v>
      </c>
      <c r="D7" s="31">
        <v>169415530</v>
      </c>
      <c r="E7" s="48">
        <v>173223242</v>
      </c>
      <c r="F7" s="48">
        <f>+C7-D7</f>
        <v>1700937.449999988</v>
      </c>
      <c r="G7" s="49">
        <f aca="true" t="shared" si="1" ref="G7">+F7/D7</f>
        <v>0.010040032634552382</v>
      </c>
    </row>
    <row r="8" spans="1:7" ht="15">
      <c r="A8" s="23" t="s">
        <v>48</v>
      </c>
      <c r="B8" s="31">
        <v>260274662</v>
      </c>
      <c r="C8" s="31">
        <f>1.01*B8</f>
        <v>262877408.62</v>
      </c>
      <c r="D8" s="31">
        <v>6290100</v>
      </c>
      <c r="E8" s="48">
        <f>6434638-81637</f>
        <v>6353001</v>
      </c>
      <c r="F8" s="48">
        <f>+E8-D8</f>
        <v>62901</v>
      </c>
      <c r="G8" s="49">
        <f t="shared" si="0"/>
        <v>0.01</v>
      </c>
    </row>
    <row r="9" spans="1:7" ht="15">
      <c r="A9" s="23" t="s">
        <v>9</v>
      </c>
      <c r="B9" s="26"/>
      <c r="C9" s="26"/>
      <c r="D9" s="24" t="s">
        <v>9</v>
      </c>
      <c r="E9" s="26"/>
      <c r="F9" s="26"/>
      <c r="G9" s="26"/>
    </row>
    <row r="10" spans="1:7" ht="15">
      <c r="A10" s="19" t="s">
        <v>78</v>
      </c>
      <c r="B10" s="27"/>
      <c r="C10" s="20"/>
      <c r="D10" s="20"/>
      <c r="E10" s="20"/>
      <c r="F10" s="20"/>
      <c r="G10" s="20"/>
    </row>
    <row r="11" spans="1:7" ht="75">
      <c r="A11" s="28" t="s">
        <v>1</v>
      </c>
      <c r="B11" s="29" t="s">
        <v>10</v>
      </c>
      <c r="C11" s="22" t="s">
        <v>24</v>
      </c>
      <c r="D11" s="29" t="str">
        <f aca="true" t="shared" si="2" ref="D11">+D2</f>
        <v>2020 levy</v>
      </c>
      <c r="E11" s="29" t="s">
        <v>83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</f>
        <v>719305572</v>
      </c>
      <c r="C12" s="31">
        <f>+E31</f>
        <v>731171387.41361</v>
      </c>
      <c r="D12" s="31">
        <f>+D3-1</f>
        <v>720776126</v>
      </c>
      <c r="E12" s="48">
        <v>743970756</v>
      </c>
      <c r="F12" s="48">
        <f>+C12-D12</f>
        <v>10395261.413609982</v>
      </c>
      <c r="G12" s="49">
        <f aca="true" t="shared" si="3" ref="G12:G17">+F12/D12</f>
        <v>0.014422316498326947</v>
      </c>
    </row>
    <row r="13" spans="1:7" s="34" customFormat="1" ht="15">
      <c r="A13" s="30" t="s">
        <v>3</v>
      </c>
      <c r="B13" s="31">
        <f>+B4</f>
        <v>30126134</v>
      </c>
      <c r="C13" s="31">
        <f aca="true" t="shared" si="4" ref="C13:C17">1.01*B13</f>
        <v>30427395.34</v>
      </c>
      <c r="D13" s="31">
        <f aca="true" t="shared" si="5" ref="D13:D17">+D4</f>
        <v>30184815</v>
      </c>
      <c r="E13" s="48">
        <v>30964178</v>
      </c>
      <c r="F13" s="48">
        <f>+C13-D13</f>
        <v>242580.33999999985</v>
      </c>
      <c r="G13" s="49">
        <f t="shared" si="3"/>
        <v>0.008036502459928936</v>
      </c>
    </row>
    <row r="14" spans="1:7" ht="15">
      <c r="A14" s="30" t="s">
        <v>4</v>
      </c>
      <c r="B14" s="31">
        <f aca="true" t="shared" si="6" ref="B14:B16">+B5</f>
        <v>92864520</v>
      </c>
      <c r="C14" s="31">
        <f t="shared" si="4"/>
        <v>93793165.2</v>
      </c>
      <c r="D14" s="31">
        <f t="shared" si="5"/>
        <v>92987997</v>
      </c>
      <c r="E14" s="48">
        <v>94510151</v>
      </c>
      <c r="F14" s="48">
        <f>+C14-D14</f>
        <v>805168.200000003</v>
      </c>
      <c r="G14" s="49">
        <f t="shared" si="3"/>
        <v>0.008658840129656765</v>
      </c>
    </row>
    <row r="15" spans="1:7" ht="15">
      <c r="A15" s="30" t="s">
        <v>5</v>
      </c>
      <c r="B15" s="31">
        <f t="shared" si="6"/>
        <v>21250347</v>
      </c>
      <c r="C15" s="31">
        <f t="shared" si="4"/>
        <v>21462850.47</v>
      </c>
      <c r="D15" s="31">
        <f t="shared" si="5"/>
        <v>21297118</v>
      </c>
      <c r="E15" s="48">
        <v>21843334</v>
      </c>
      <c r="F15" s="48">
        <f>+C15-D15</f>
        <v>165732.4699999988</v>
      </c>
      <c r="G15" s="49">
        <f t="shared" si="3"/>
        <v>0.007781920070123986</v>
      </c>
    </row>
    <row r="16" spans="1:7" ht="15">
      <c r="A16" s="30" t="s">
        <v>6</v>
      </c>
      <c r="B16" s="31">
        <f t="shared" si="6"/>
        <v>169422245</v>
      </c>
      <c r="C16" s="31">
        <f t="shared" si="4"/>
        <v>171116467.45</v>
      </c>
      <c r="D16" s="31">
        <f t="shared" si="5"/>
        <v>169415530</v>
      </c>
      <c r="E16" s="48">
        <v>173661270</v>
      </c>
      <c r="F16" s="48">
        <f>+E16-D16</f>
        <v>4245740</v>
      </c>
      <c r="G16" s="49">
        <f t="shared" si="3"/>
        <v>0.025061102721810686</v>
      </c>
    </row>
    <row r="17" spans="1:7" ht="15">
      <c r="A17" s="30" t="s">
        <v>48</v>
      </c>
      <c r="B17" s="31">
        <v>257587215</v>
      </c>
      <c r="C17" s="31">
        <f t="shared" si="4"/>
        <v>260163087.15</v>
      </c>
      <c r="D17" s="31">
        <f t="shared" si="5"/>
        <v>6290100</v>
      </c>
      <c r="E17" s="48">
        <f>6457877-104876</f>
        <v>6353001</v>
      </c>
      <c r="F17" s="48">
        <f>+E17-D17</f>
        <v>62901</v>
      </c>
      <c r="G17" s="49">
        <f t="shared" si="3"/>
        <v>0.01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48" t="s">
        <v>9</v>
      </c>
      <c r="F18" s="48" t="s">
        <v>9</v>
      </c>
      <c r="G18" s="49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>
      <c r="A22" s="44" t="s">
        <v>44</v>
      </c>
      <c r="B22" s="45" t="s">
        <v>81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388823975-58028</f>
        <v>388765947</v>
      </c>
      <c r="C23" s="41">
        <f>+B23*1.01</f>
        <v>392653606.47</v>
      </c>
      <c r="D23" s="41">
        <v>0</v>
      </c>
      <c r="E23" s="41">
        <f>+C23+D23</f>
        <v>392653606.47</v>
      </c>
      <c r="F23" s="2" t="s">
        <v>9</v>
      </c>
    </row>
    <row r="24" spans="1:5" ht="15">
      <c r="A24" t="s">
        <v>37</v>
      </c>
      <c r="B24" s="41">
        <v>21767616</v>
      </c>
      <c r="C24" s="41">
        <f>+B24*1.01</f>
        <v>21985292.16</v>
      </c>
      <c r="D24" s="41">
        <v>0</v>
      </c>
      <c r="E24" s="41">
        <f>+C24+D24</f>
        <v>21985292.16</v>
      </c>
    </row>
    <row r="25" spans="1:5" ht="15">
      <c r="A25" t="s">
        <v>38</v>
      </c>
      <c r="B25" s="41">
        <v>26597559</v>
      </c>
      <c r="C25" s="41">
        <f aca="true" t="shared" si="7" ref="C25:C29">+B25*1.01</f>
        <v>26863534.59</v>
      </c>
      <c r="D25" s="41">
        <v>0</v>
      </c>
      <c r="E25" s="41">
        <f aca="true" t="shared" si="8" ref="E25:E29">+C25+D25</f>
        <v>26863534.59</v>
      </c>
    </row>
    <row r="26" spans="1:5" ht="15">
      <c r="A26" t="s">
        <v>39</v>
      </c>
      <c r="B26" s="41">
        <v>59386353</v>
      </c>
      <c r="C26" s="41">
        <f t="shared" si="7"/>
        <v>59980216.53</v>
      </c>
      <c r="D26" s="41">
        <f>0.025*B26</f>
        <v>1484658.8250000002</v>
      </c>
      <c r="E26" s="41">
        <f>+C26+D26</f>
        <v>61464875.355000004</v>
      </c>
    </row>
    <row r="27" spans="1:5" ht="15">
      <c r="A27" t="s">
        <v>40</v>
      </c>
      <c r="B27" s="41">
        <v>116827149</v>
      </c>
      <c r="C27" s="41">
        <f t="shared" si="7"/>
        <v>117995420.49</v>
      </c>
      <c r="D27" s="41">
        <f>+B27*0.01489</f>
        <v>1739556.2486100001</v>
      </c>
      <c r="E27" s="41">
        <f t="shared" si="8"/>
        <v>119734976.73861</v>
      </c>
    </row>
    <row r="28" spans="1:5" ht="15">
      <c r="A28" t="s">
        <v>41</v>
      </c>
      <c r="B28" s="41">
        <v>33533717</v>
      </c>
      <c r="C28" s="41">
        <f t="shared" si="7"/>
        <v>33869054.17</v>
      </c>
      <c r="D28" s="41">
        <v>0</v>
      </c>
      <c r="E28" s="41">
        <f t="shared" si="8"/>
        <v>33869054.17</v>
      </c>
    </row>
    <row r="29" spans="1:5" ht="15">
      <c r="A29" t="s">
        <v>42</v>
      </c>
      <c r="B29" s="41">
        <v>72427231</v>
      </c>
      <c r="C29" s="41">
        <f t="shared" si="7"/>
        <v>73151503.31</v>
      </c>
      <c r="D29" s="41">
        <f>0.02*B29</f>
        <v>1448544.62</v>
      </c>
      <c r="E29" s="41">
        <f t="shared" si="8"/>
        <v>74600047.93</v>
      </c>
    </row>
    <row r="30" spans="1:5" ht="15">
      <c r="A30" t="s">
        <v>84</v>
      </c>
      <c r="B30" s="41">
        <v>1402492</v>
      </c>
      <c r="C30" s="41" t="s">
        <v>9</v>
      </c>
      <c r="D30" s="41"/>
      <c r="E30" s="41"/>
    </row>
    <row r="31" spans="1:5" ht="15">
      <c r="A31" s="51" t="s">
        <v>43</v>
      </c>
      <c r="B31" s="43">
        <f>+SUM(B23:B30)</f>
        <v>720708064</v>
      </c>
      <c r="C31" s="43">
        <f>+SUM(C23:C29)</f>
        <v>726498627.72</v>
      </c>
      <c r="D31" s="43">
        <f>+SUM(D23:D29)</f>
        <v>4672759.69361</v>
      </c>
      <c r="E31" s="43">
        <f>+SUM(E23:E29)</f>
        <v>731171387.41361</v>
      </c>
    </row>
    <row r="32" spans="1:5" ht="15">
      <c r="A32" t="s">
        <v>85</v>
      </c>
      <c r="B32" s="2">
        <f>+B31-B30</f>
        <v>719305572</v>
      </c>
      <c r="E32" s="2" t="s">
        <v>9</v>
      </c>
    </row>
    <row r="35" spans="1:5" ht="15">
      <c r="A35" s="50" t="s">
        <v>71</v>
      </c>
      <c r="B35" s="36"/>
      <c r="C35" s="36"/>
      <c r="D35" s="36"/>
      <c r="E35" s="36"/>
    </row>
    <row r="36" spans="1:2" ht="15">
      <c r="A36" t="s">
        <v>72</v>
      </c>
      <c r="B36" s="2">
        <v>389416369</v>
      </c>
    </row>
    <row r="37" spans="1:2" ht="15">
      <c r="A37" t="s">
        <v>73</v>
      </c>
      <c r="B37" s="2">
        <v>7367317.767795877</v>
      </c>
    </row>
    <row r="38" spans="1:2" ht="15">
      <c r="A38" t="s">
        <v>39</v>
      </c>
      <c r="B38" s="2">
        <v>3282710.237168486</v>
      </c>
    </row>
    <row r="39" spans="1:2" ht="15">
      <c r="A39" t="s">
        <v>74</v>
      </c>
      <c r="B39" s="2">
        <v>0</v>
      </c>
    </row>
    <row r="40" spans="1:2" ht="15">
      <c r="A40" t="s">
        <v>37</v>
      </c>
      <c r="B40" s="2">
        <v>22348463.503102407</v>
      </c>
    </row>
    <row r="41" spans="1:3" ht="15">
      <c r="A41" t="s">
        <v>40</v>
      </c>
      <c r="B41" s="2">
        <v>121688991.91855702</v>
      </c>
      <c r="C41" s="1" t="s">
        <v>9</v>
      </c>
    </row>
    <row r="42" spans="1:3" ht="15">
      <c r="A42" t="s">
        <v>38</v>
      </c>
      <c r="B42" s="2">
        <v>27306914.302374844</v>
      </c>
      <c r="C42" s="1" t="s">
        <v>9</v>
      </c>
    </row>
    <row r="43" spans="1:3" ht="15">
      <c r="A43" t="s">
        <v>75</v>
      </c>
      <c r="B43" s="2">
        <v>62455061.26429278</v>
      </c>
      <c r="C43" s="1" t="s">
        <v>9</v>
      </c>
    </row>
    <row r="44" spans="1:3" ht="15">
      <c r="A44" t="s">
        <v>41</v>
      </c>
      <c r="B44" s="2">
        <v>34428311.49735859</v>
      </c>
      <c r="C44" s="1" t="s">
        <v>9</v>
      </c>
    </row>
    <row r="45" spans="1:2" ht="15">
      <c r="A45" t="s">
        <v>42</v>
      </c>
      <c r="B45" s="2">
        <v>75807502.19507359</v>
      </c>
    </row>
    <row r="46" spans="1:2" ht="15">
      <c r="A46" t="s">
        <v>43</v>
      </c>
      <c r="B46" s="2">
        <f>+SUM(B36:B45)</f>
        <v>744101641.6857235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workbookViewId="0" topLeftCell="A1">
      <selection activeCell="A6" sqref="A6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76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66</v>
      </c>
      <c r="E2" s="22" t="s">
        <v>67</v>
      </c>
      <c r="F2" s="22" t="s">
        <v>12</v>
      </c>
      <c r="G2" s="22" t="s">
        <v>2</v>
      </c>
    </row>
    <row r="3" spans="1:7" ht="15">
      <c r="A3" s="23" t="s">
        <v>0</v>
      </c>
      <c r="B3" s="31">
        <v>583260578</v>
      </c>
      <c r="C3" s="31">
        <v>707745315.3399999</v>
      </c>
      <c r="D3" s="31">
        <v>662640997</v>
      </c>
      <c r="E3" s="48">
        <v>720334503</v>
      </c>
      <c r="F3" s="48">
        <f>+C3-D3</f>
        <v>45104318.339999914</v>
      </c>
      <c r="G3" s="49">
        <f aca="true" t="shared" si="0" ref="G3:G8">+F3/D3</f>
        <v>0.06806750343580072</v>
      </c>
    </row>
    <row r="4" spans="1:7" ht="15">
      <c r="A4" s="23" t="s">
        <v>3</v>
      </c>
      <c r="B4" s="31">
        <v>29297880</v>
      </c>
      <c r="C4" s="31">
        <f>1.01*B4</f>
        <v>29590858.8</v>
      </c>
      <c r="D4" s="31">
        <v>29355710</v>
      </c>
      <c r="E4" s="48">
        <v>30233631</v>
      </c>
      <c r="F4" s="48">
        <f>+C4-D4</f>
        <v>235148.80000000075</v>
      </c>
      <c r="G4" s="49">
        <f t="shared" si="0"/>
        <v>0.008010325759451934</v>
      </c>
    </row>
    <row r="5" spans="1:7" ht="15">
      <c r="A5" s="23" t="s">
        <v>4</v>
      </c>
      <c r="B5" s="31">
        <v>91095376</v>
      </c>
      <c r="C5" s="31">
        <f>1.01*B5</f>
        <v>92006329.76</v>
      </c>
      <c r="D5" s="31">
        <v>91211126</v>
      </c>
      <c r="E5" s="48">
        <v>92970641</v>
      </c>
      <c r="F5" s="48">
        <f>+C5-D5</f>
        <v>795203.7600000054</v>
      </c>
      <c r="G5" s="49">
        <f t="shared" si="0"/>
        <v>0.008718275882264686</v>
      </c>
    </row>
    <row r="6" spans="1:7" ht="15">
      <c r="A6" s="23" t="s">
        <v>5</v>
      </c>
      <c r="B6" s="31">
        <v>20665963</v>
      </c>
      <c r="C6" s="31">
        <f>1.01*B6</f>
        <v>20872622.63</v>
      </c>
      <c r="D6" s="31">
        <v>20712946</v>
      </c>
      <c r="E6" s="48">
        <v>21340567</v>
      </c>
      <c r="F6" s="48">
        <f>+C6-D6</f>
        <v>159676.62999999896</v>
      </c>
      <c r="G6" s="49">
        <f t="shared" si="0"/>
        <v>0.007709025553390568</v>
      </c>
    </row>
    <row r="7" spans="1:7" ht="15">
      <c r="A7" s="23" t="s">
        <v>70</v>
      </c>
      <c r="B7" s="31" t="s">
        <v>17</v>
      </c>
      <c r="C7" s="31" t="s">
        <v>17</v>
      </c>
      <c r="D7" s="31">
        <v>131539324</v>
      </c>
      <c r="E7" s="48">
        <v>168234312</v>
      </c>
      <c r="F7" s="48">
        <f>+E7-D7</f>
        <v>36694988</v>
      </c>
      <c r="G7" s="49">
        <f t="shared" si="0"/>
        <v>0.2789659159264039</v>
      </c>
    </row>
    <row r="8" spans="1:7" ht="15">
      <c r="A8" s="23" t="s">
        <v>48</v>
      </c>
      <c r="B8" s="31">
        <v>257587215</v>
      </c>
      <c r="C8" s="31">
        <f>1.01*B8</f>
        <v>260163087.15</v>
      </c>
      <c r="D8" s="31">
        <v>6117419</v>
      </c>
      <c r="E8" s="48">
        <v>6298536</v>
      </c>
      <c r="F8" s="48">
        <f>+E8-D8</f>
        <v>181117</v>
      </c>
      <c r="G8" s="49">
        <f t="shared" si="0"/>
        <v>0.029606767167656818</v>
      </c>
    </row>
    <row r="9" spans="1:7" ht="15">
      <c r="A9" s="23" t="s">
        <v>9</v>
      </c>
      <c r="B9" s="26"/>
      <c r="C9" s="26"/>
      <c r="D9" s="24" t="s">
        <v>9</v>
      </c>
      <c r="E9" s="26"/>
      <c r="F9" s="26"/>
      <c r="G9" s="26"/>
    </row>
    <row r="10" spans="1:7" ht="15">
      <c r="A10" s="19" t="s">
        <v>65</v>
      </c>
      <c r="B10" s="27"/>
      <c r="C10" s="20"/>
      <c r="D10" s="20"/>
      <c r="E10" s="20"/>
      <c r="F10" s="20"/>
      <c r="G10" s="20"/>
    </row>
    <row r="11" spans="1:7" ht="75">
      <c r="A11" s="28" t="s">
        <v>1</v>
      </c>
      <c r="B11" s="29" t="s">
        <v>10</v>
      </c>
      <c r="C11" s="22" t="s">
        <v>24</v>
      </c>
      <c r="D11" s="29" t="str">
        <f aca="true" t="shared" si="1" ref="D11">+D2</f>
        <v>2019 levy</v>
      </c>
      <c r="E11" s="29" t="s">
        <v>77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+B31</f>
        <v>583260578</v>
      </c>
      <c r="C12" s="31">
        <f>1.01*B12+D26+D27+D29</f>
        <v>708692749.3399999</v>
      </c>
      <c r="D12" s="31">
        <f>+D3</f>
        <v>662640997</v>
      </c>
      <c r="E12" s="48">
        <f>+B45</f>
        <v>720758064</v>
      </c>
      <c r="F12" s="48">
        <f>+C12-D12</f>
        <v>46051752.339999914</v>
      </c>
      <c r="G12" s="49">
        <f aca="true" t="shared" si="2" ref="G12:G17">+F12/D12</f>
        <v>0.06949728819751838</v>
      </c>
    </row>
    <row r="13" spans="1:7" s="34" customFormat="1" ht="15">
      <c r="A13" s="30" t="s">
        <v>3</v>
      </c>
      <c r="B13" s="31">
        <f>+B4</f>
        <v>29297880</v>
      </c>
      <c r="C13" s="31">
        <f aca="true" t="shared" si="3" ref="C13:C17">1.01*B13</f>
        <v>29590858.8</v>
      </c>
      <c r="D13" s="31">
        <f aca="true" t="shared" si="4" ref="D13:D17">+D4</f>
        <v>29355710</v>
      </c>
      <c r="E13" s="48">
        <v>30184815</v>
      </c>
      <c r="F13" s="48">
        <f>+C13-D13</f>
        <v>235148.80000000075</v>
      </c>
      <c r="G13" s="49">
        <f t="shared" si="2"/>
        <v>0.008010325759451934</v>
      </c>
    </row>
    <row r="14" spans="1:7" ht="15">
      <c r="A14" s="30" t="s">
        <v>4</v>
      </c>
      <c r="B14" s="31">
        <f aca="true" t="shared" si="5" ref="B14:B17">+B5</f>
        <v>91095376</v>
      </c>
      <c r="C14" s="31">
        <f t="shared" si="3"/>
        <v>92006329.76</v>
      </c>
      <c r="D14" s="31">
        <f t="shared" si="4"/>
        <v>91211126</v>
      </c>
      <c r="E14" s="48">
        <v>92987997</v>
      </c>
      <c r="F14" s="48">
        <f>+C14-D14</f>
        <v>795203.7600000054</v>
      </c>
      <c r="G14" s="49">
        <f t="shared" si="2"/>
        <v>0.008718275882264686</v>
      </c>
    </row>
    <row r="15" spans="1:7" ht="15">
      <c r="A15" s="30" t="s">
        <v>5</v>
      </c>
      <c r="B15" s="31">
        <f t="shared" si="5"/>
        <v>20665963</v>
      </c>
      <c r="C15" s="31">
        <f t="shared" si="3"/>
        <v>20872622.63</v>
      </c>
      <c r="D15" s="31">
        <f t="shared" si="4"/>
        <v>20712946</v>
      </c>
      <c r="E15" s="48">
        <v>21297118</v>
      </c>
      <c r="F15" s="48">
        <f>+C15-D15</f>
        <v>159676.62999999896</v>
      </c>
      <c r="G15" s="49">
        <f t="shared" si="2"/>
        <v>0.007709025553390568</v>
      </c>
    </row>
    <row r="16" spans="1:7" ht="15">
      <c r="A16" s="30" t="s">
        <v>6</v>
      </c>
      <c r="B16" s="31" t="str">
        <f t="shared" si="5"/>
        <v>N/A</v>
      </c>
      <c r="C16" s="31" t="s">
        <v>17</v>
      </c>
      <c r="D16" s="31">
        <f t="shared" si="4"/>
        <v>131539324</v>
      </c>
      <c r="E16" s="48">
        <v>169468451</v>
      </c>
      <c r="F16" s="48">
        <f>+E16-D16</f>
        <v>37929127</v>
      </c>
      <c r="G16" s="49">
        <f t="shared" si="2"/>
        <v>0.28834819768421494</v>
      </c>
    </row>
    <row r="17" spans="1:7" ht="15">
      <c r="A17" s="30" t="s">
        <v>48</v>
      </c>
      <c r="B17" s="31">
        <f t="shared" si="5"/>
        <v>257587215</v>
      </c>
      <c r="C17" s="31">
        <f t="shared" si="3"/>
        <v>260163087.15</v>
      </c>
      <c r="D17" s="31">
        <f t="shared" si="4"/>
        <v>6117419</v>
      </c>
      <c r="E17" s="48">
        <v>6178593</v>
      </c>
      <c r="F17" s="48">
        <f>+E17-D17</f>
        <v>61174</v>
      </c>
      <c r="G17" s="49">
        <f t="shared" si="2"/>
        <v>0.009999968941149854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>
      <c r="A22" s="44" t="s">
        <v>44</v>
      </c>
      <c r="B22" s="45" t="s">
        <v>68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378172490</f>
        <v>378172490</v>
      </c>
      <c r="C23" s="41">
        <f>+B23*1.01</f>
        <v>381954214.9</v>
      </c>
      <c r="D23" s="41">
        <v>0</v>
      </c>
      <c r="E23" s="41">
        <f>+C23+D23</f>
        <v>381954214.9</v>
      </c>
      <c r="F23" s="2" t="s">
        <v>9</v>
      </c>
    </row>
    <row r="24" spans="1:5" ht="15">
      <c r="A24" t="s">
        <v>37</v>
      </c>
      <c r="B24" s="41">
        <v>21170033</v>
      </c>
      <c r="C24" s="41">
        <f>+B24*1.01</f>
        <v>21381733.330000002</v>
      </c>
      <c r="D24" s="41">
        <v>0</v>
      </c>
      <c r="E24" s="41">
        <f>+C24+D24</f>
        <v>21381733.330000002</v>
      </c>
    </row>
    <row r="25" spans="1:5" ht="15">
      <c r="A25" t="s">
        <v>38</v>
      </c>
      <c r="B25" s="41">
        <v>25867119</v>
      </c>
      <c r="C25" s="41">
        <f aca="true" t="shared" si="6" ref="C25:C29">+B25*1.01</f>
        <v>26125790.19</v>
      </c>
      <c r="D25" s="41">
        <v>0</v>
      </c>
      <c r="E25" s="41">
        <f aca="true" t="shared" si="7" ref="E25:E29">+C25+D25</f>
        <v>26125790.19</v>
      </c>
    </row>
    <row r="26" spans="1:5" ht="15">
      <c r="A26" t="s">
        <v>39</v>
      </c>
      <c r="B26" s="41">
        <v>56343720</v>
      </c>
      <c r="C26" s="41">
        <f t="shared" si="6"/>
        <v>56907157.2</v>
      </c>
      <c r="D26" s="41">
        <f>0.025*B26</f>
        <v>1408593</v>
      </c>
      <c r="E26" s="41">
        <f>+C26+D26</f>
        <v>58315750.2</v>
      </c>
    </row>
    <row r="27" spans="1:5" ht="15">
      <c r="A27" t="s">
        <v>40</v>
      </c>
      <c r="B27" s="41">
        <v>0</v>
      </c>
      <c r="C27" s="41">
        <f t="shared" si="6"/>
        <v>0</v>
      </c>
      <c r="D27" s="41">
        <f>+B40</f>
        <v>116809086</v>
      </c>
      <c r="E27" s="41">
        <f t="shared" si="7"/>
        <v>116809086</v>
      </c>
    </row>
    <row r="28" spans="1:5" ht="15">
      <c r="A28" t="s">
        <v>41</v>
      </c>
      <c r="B28" s="41">
        <v>32612888</v>
      </c>
      <c r="C28" s="41">
        <f t="shared" si="6"/>
        <v>32939016.88</v>
      </c>
      <c r="D28" s="41">
        <v>0</v>
      </c>
      <c r="E28" s="41">
        <f t="shared" si="7"/>
        <v>32939016.88</v>
      </c>
    </row>
    <row r="29" spans="1:5" ht="15">
      <c r="A29" t="s">
        <v>42</v>
      </c>
      <c r="B29" s="41">
        <v>69094328</v>
      </c>
      <c r="C29" s="41">
        <f t="shared" si="6"/>
        <v>69785271.28</v>
      </c>
      <c r="D29" s="41">
        <f>0.02*B29</f>
        <v>1381886.56</v>
      </c>
      <c r="E29" s="41">
        <f t="shared" si="7"/>
        <v>71167157.84</v>
      </c>
    </row>
    <row r="30" spans="1:5" ht="15">
      <c r="A30" s="17" t="s">
        <v>43</v>
      </c>
      <c r="B30" s="43">
        <f>+SUM(B23:B29)</f>
        <v>583260578</v>
      </c>
      <c r="C30" s="43">
        <f>+SUM(C23:C29)</f>
        <v>589093183.78</v>
      </c>
      <c r="D30" s="43">
        <f>+SUM(D23:D29)</f>
        <v>119599565.56</v>
      </c>
      <c r="E30" s="43">
        <f>+SUM(E23:E29)</f>
        <v>708692749.3399999</v>
      </c>
    </row>
    <row r="31" spans="1:2" ht="15">
      <c r="A31" t="s">
        <v>69</v>
      </c>
      <c r="B31" s="2">
        <f>+B30</f>
        <v>583260578</v>
      </c>
    </row>
    <row r="34" spans="1:5" ht="15">
      <c r="A34" s="50" t="s">
        <v>71</v>
      </c>
      <c r="B34" s="36"/>
      <c r="C34" s="36"/>
      <c r="D34" s="36"/>
      <c r="E34" s="36"/>
    </row>
    <row r="35" spans="1:2" ht="15">
      <c r="A35" t="s">
        <v>72</v>
      </c>
      <c r="B35" s="2">
        <v>379849948</v>
      </c>
    </row>
    <row r="36" spans="1:2" ht="15">
      <c r="A36" t="s">
        <v>73</v>
      </c>
      <c r="B36" s="2">
        <v>7175843</v>
      </c>
    </row>
    <row r="37" spans="1:2" ht="15">
      <c r="A37" t="s">
        <v>39</v>
      </c>
      <c r="B37" s="2">
        <v>3197394</v>
      </c>
    </row>
    <row r="38" spans="1:2" ht="15">
      <c r="A38" t="s">
        <v>74</v>
      </c>
      <c r="B38" s="2">
        <v>50000</v>
      </c>
    </row>
    <row r="39" spans="1:2" ht="15">
      <c r="A39" t="s">
        <v>37</v>
      </c>
      <c r="B39" s="2">
        <v>21767616</v>
      </c>
    </row>
    <row r="40" spans="1:2" ht="15">
      <c r="A40" t="s">
        <v>40</v>
      </c>
      <c r="B40" s="2">
        <f>116688429+120657</f>
        <v>116809086</v>
      </c>
    </row>
    <row r="41" spans="1:2" ht="15">
      <c r="A41" t="s">
        <v>38</v>
      </c>
      <c r="B41" s="2">
        <v>26597220</v>
      </c>
    </row>
    <row r="42" spans="1:2" ht="15">
      <c r="A42" t="s">
        <v>75</v>
      </c>
      <c r="B42" s="2">
        <f>59297893+53119</f>
        <v>59351012</v>
      </c>
    </row>
    <row r="43" spans="1:2" ht="15">
      <c r="A43" t="s">
        <v>41</v>
      </c>
      <c r="B43" s="2">
        <v>33533496</v>
      </c>
    </row>
    <row r="44" spans="1:2" ht="15">
      <c r="A44" t="s">
        <v>42</v>
      </c>
      <c r="B44" s="2">
        <v>72426449</v>
      </c>
    </row>
    <row r="45" spans="1:2" ht="15">
      <c r="A45" t="s">
        <v>43</v>
      </c>
      <c r="B45" s="2">
        <f>+SUM(B35:B44)</f>
        <v>720758064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workbookViewId="0" topLeftCell="A1">
      <selection activeCell="C3" sqref="C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58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59</v>
      </c>
      <c r="E2" s="22" t="s">
        <v>62</v>
      </c>
      <c r="F2" s="22" t="s">
        <v>12</v>
      </c>
      <c r="G2" s="22" t="s">
        <v>2</v>
      </c>
    </row>
    <row r="3" spans="1:7" ht="15">
      <c r="A3" s="23" t="s">
        <v>0</v>
      </c>
      <c r="B3" s="24">
        <f>638718762-22346764</f>
        <v>616371998</v>
      </c>
      <c r="C3" s="24">
        <f>1.01*B3+20839974+4130998</f>
        <v>647506689.98</v>
      </c>
      <c r="D3" s="24">
        <v>640041757</v>
      </c>
      <c r="E3" s="24">
        <v>660946264</v>
      </c>
      <c r="F3" s="24">
        <f>+C3-D3</f>
        <v>7464932.980000019</v>
      </c>
      <c r="G3" s="25">
        <f aca="true" t="shared" si="0" ref="G3:G8">+F3/D3</f>
        <v>0.01166319681232926</v>
      </c>
    </row>
    <row r="4" spans="1:7" ht="15">
      <c r="A4" s="23" t="s">
        <v>3</v>
      </c>
      <c r="B4" s="24">
        <v>28493208</v>
      </c>
      <c r="C4" s="24">
        <f>1.01*B4</f>
        <v>28778140.080000002</v>
      </c>
      <c r="D4" s="24">
        <v>23641990</v>
      </c>
      <c r="E4" s="24">
        <v>29336521</v>
      </c>
      <c r="F4" s="24">
        <f>+C4-D4</f>
        <v>5136150.080000002</v>
      </c>
      <c r="G4" s="25">
        <f t="shared" si="0"/>
        <v>0.21724694410242124</v>
      </c>
    </row>
    <row r="5" spans="1:7" ht="15">
      <c r="A5" s="23" t="s">
        <v>4</v>
      </c>
      <c r="B5" s="24">
        <v>89206166</v>
      </c>
      <c r="C5" s="24">
        <f>1.01*B5</f>
        <v>90098227.66</v>
      </c>
      <c r="D5" s="24">
        <v>89353349</v>
      </c>
      <c r="E5" s="24">
        <v>91087919</v>
      </c>
      <c r="F5" s="24">
        <f>+C5-D5</f>
        <v>744878.6599999964</v>
      </c>
      <c r="G5" s="25">
        <f t="shared" si="0"/>
        <v>0.008336326151580468</v>
      </c>
    </row>
    <row r="6" spans="1:7" ht="15">
      <c r="A6" s="23" t="s">
        <v>5</v>
      </c>
      <c r="B6" s="24">
        <v>20024559</v>
      </c>
      <c r="C6" s="24">
        <f>1.01*B6</f>
        <v>20224804.59</v>
      </c>
      <c r="D6" s="24">
        <v>20072804</v>
      </c>
      <c r="E6" s="24">
        <v>20685007</v>
      </c>
      <c r="F6" s="24">
        <f>+C6-D6</f>
        <v>152000.58999999985</v>
      </c>
      <c r="G6" s="25">
        <f t="shared" si="0"/>
        <v>0.007572464215761777</v>
      </c>
    </row>
    <row r="7" spans="1:7" ht="15">
      <c r="A7" s="23" t="s">
        <v>6</v>
      </c>
      <c r="B7" s="24">
        <v>127190452</v>
      </c>
      <c r="C7" s="24">
        <f>1.01*B7</f>
        <v>128462356.52</v>
      </c>
      <c r="D7" s="24">
        <v>127489160</v>
      </c>
      <c r="E7" s="24">
        <v>131382129</v>
      </c>
      <c r="F7" s="24">
        <f>+C7-D7</f>
        <v>973196.5199999958</v>
      </c>
      <c r="G7" s="25">
        <f t="shared" si="0"/>
        <v>0.007633562884875826</v>
      </c>
    </row>
    <row r="8" spans="1:7" ht="15">
      <c r="A8" s="23" t="s">
        <v>48</v>
      </c>
      <c r="B8" s="24">
        <v>257587215</v>
      </c>
      <c r="C8" s="24">
        <f>1.01*B8</f>
        <v>260163087.15</v>
      </c>
      <c r="D8" s="24">
        <v>5927796</v>
      </c>
      <c r="E8" s="24">
        <v>6105904</v>
      </c>
      <c r="F8" s="24">
        <f>+E8-D8</f>
        <v>178108</v>
      </c>
      <c r="G8" s="25">
        <f t="shared" si="0"/>
        <v>0.030046243156815786</v>
      </c>
    </row>
    <row r="9" spans="1:7" ht="15">
      <c r="A9" s="23" t="s">
        <v>60</v>
      </c>
      <c r="B9" s="26"/>
      <c r="C9" s="26"/>
      <c r="D9" s="24">
        <f>+D3+D4+D6+D7+D8+17300000</f>
        <v>834473507</v>
      </c>
      <c r="E9" s="26"/>
      <c r="F9" s="26"/>
      <c r="G9" s="26"/>
    </row>
    <row r="10" spans="1:7" ht="15">
      <c r="A10" s="19" t="s">
        <v>57</v>
      </c>
      <c r="B10" s="27"/>
      <c r="C10" s="20"/>
      <c r="D10" s="20"/>
      <c r="E10" s="20"/>
      <c r="F10" s="20"/>
      <c r="G10" s="20"/>
    </row>
    <row r="11" spans="1:7" ht="75">
      <c r="A11" s="28" t="s">
        <v>1</v>
      </c>
      <c r="B11" s="29" t="s">
        <v>10</v>
      </c>
      <c r="C11" s="22" t="s">
        <v>24</v>
      </c>
      <c r="D11" s="29" t="str">
        <f aca="true" t="shared" si="1" ref="D11:D17">+D2</f>
        <v>2018 levy</v>
      </c>
      <c r="E11" s="29" t="s">
        <v>64</v>
      </c>
      <c r="F11" s="29" t="s">
        <v>12</v>
      </c>
      <c r="G11" s="29" t="s">
        <v>2</v>
      </c>
    </row>
    <row r="12" spans="1:7" ht="15">
      <c r="A12" s="30" t="s">
        <v>0</v>
      </c>
      <c r="B12" s="31">
        <f aca="true" t="shared" si="2" ref="B12:B17">+B3</f>
        <v>616371998</v>
      </c>
      <c r="C12" s="31">
        <f>1.01*B12+E24+D30</f>
        <v>647751799.14231</v>
      </c>
      <c r="D12" s="31">
        <f t="shared" si="1"/>
        <v>640041757</v>
      </c>
      <c r="E12" s="31">
        <v>662304336</v>
      </c>
      <c r="F12" s="24">
        <f>+C12-D12</f>
        <v>7710042.142310023</v>
      </c>
      <c r="G12" s="32">
        <f aca="true" t="shared" si="3" ref="G12:G17">+F12/D12</f>
        <v>0.012046154892219045</v>
      </c>
    </row>
    <row r="13" spans="1:7" s="34" customFormat="1" ht="15">
      <c r="A13" s="30" t="s">
        <v>3</v>
      </c>
      <c r="B13" s="31">
        <f t="shared" si="2"/>
        <v>28493208</v>
      </c>
      <c r="C13" s="31">
        <f aca="true" t="shared" si="4" ref="C13:C17">1.01*B13</f>
        <v>28778140.080000002</v>
      </c>
      <c r="D13" s="31">
        <f t="shared" si="1"/>
        <v>23641990</v>
      </c>
      <c r="E13" s="31">
        <v>29346080</v>
      </c>
      <c r="F13" s="24">
        <f>+C13-D13</f>
        <v>5136150.080000002</v>
      </c>
      <c r="G13" s="32">
        <f t="shared" si="3"/>
        <v>0.21724694410242124</v>
      </c>
    </row>
    <row r="14" spans="1:7" ht="15">
      <c r="A14" s="30" t="s">
        <v>4</v>
      </c>
      <c r="B14" s="31">
        <f t="shared" si="2"/>
        <v>89206166</v>
      </c>
      <c r="C14" s="31">
        <f t="shared" si="4"/>
        <v>90098227.66</v>
      </c>
      <c r="D14" s="31">
        <f t="shared" si="1"/>
        <v>89353349</v>
      </c>
      <c r="E14" s="31">
        <v>91136601</v>
      </c>
      <c r="F14" s="24">
        <f>+C14-D14</f>
        <v>744878.6599999964</v>
      </c>
      <c r="G14" s="32">
        <f t="shared" si="3"/>
        <v>0.008336326151580468</v>
      </c>
    </row>
    <row r="15" spans="1:7" ht="15">
      <c r="A15" s="30" t="s">
        <v>5</v>
      </c>
      <c r="B15" s="31">
        <f t="shared" si="2"/>
        <v>20024559</v>
      </c>
      <c r="C15" s="31">
        <f t="shared" si="4"/>
        <v>20224804.59</v>
      </c>
      <c r="D15" s="31">
        <f t="shared" si="1"/>
        <v>20072804</v>
      </c>
      <c r="E15" s="31">
        <v>20704772</v>
      </c>
      <c r="F15" s="31">
        <f>+C15-D15</f>
        <v>152000.58999999985</v>
      </c>
      <c r="G15" s="32">
        <f t="shared" si="3"/>
        <v>0.007572464215761777</v>
      </c>
    </row>
    <row r="16" spans="1:7" ht="15">
      <c r="A16" s="30" t="s">
        <v>6</v>
      </c>
      <c r="B16" s="31">
        <f t="shared" si="2"/>
        <v>127190452</v>
      </c>
      <c r="C16" s="31">
        <f t="shared" si="4"/>
        <v>128462356.52</v>
      </c>
      <c r="D16" s="31">
        <f t="shared" si="1"/>
        <v>127489160</v>
      </c>
      <c r="E16" s="31">
        <v>131487411</v>
      </c>
      <c r="F16" s="24">
        <f>+C16-D16</f>
        <v>973196.5199999958</v>
      </c>
      <c r="G16" s="32">
        <f t="shared" si="3"/>
        <v>0.007633562884875826</v>
      </c>
    </row>
    <row r="17" spans="1:7" ht="15">
      <c r="A17" s="30" t="s">
        <v>48</v>
      </c>
      <c r="B17" s="31">
        <f t="shared" si="2"/>
        <v>257587215</v>
      </c>
      <c r="C17" s="31">
        <f t="shared" si="4"/>
        <v>260163087.15</v>
      </c>
      <c r="D17" s="31">
        <f t="shared" si="1"/>
        <v>5927796</v>
      </c>
      <c r="E17" s="31">
        <f>+E8</f>
        <v>6105904</v>
      </c>
      <c r="F17" s="24">
        <f>+E17-D17</f>
        <v>178108</v>
      </c>
      <c r="G17" s="32">
        <f t="shared" si="3"/>
        <v>0.030046243156815786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>
      <c r="A22" s="44" t="s">
        <v>44</v>
      </c>
      <c r="B22" s="45" t="s">
        <v>61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366415360+55204</f>
        <v>366470564</v>
      </c>
      <c r="C23" s="41">
        <f>+B23*1.01</f>
        <v>370135269.64</v>
      </c>
      <c r="D23" s="41">
        <v>0</v>
      </c>
      <c r="E23" s="41">
        <f>+C23+D23</f>
        <v>370135269.64</v>
      </c>
      <c r="F23" s="2" t="s">
        <v>9</v>
      </c>
    </row>
    <row r="24" spans="1:5" ht="15">
      <c r="A24" t="s">
        <v>37</v>
      </c>
      <c r="B24" s="42">
        <v>22346764</v>
      </c>
      <c r="C24" s="42" t="s">
        <v>9</v>
      </c>
      <c r="D24" s="42" t="s">
        <v>9</v>
      </c>
      <c r="E24" s="42">
        <f>0.035*602430949.066</f>
        <v>21085083.21731</v>
      </c>
    </row>
    <row r="25" spans="1:5" ht="15">
      <c r="A25" t="s">
        <v>38</v>
      </c>
      <c r="B25" s="41">
        <v>25065571</v>
      </c>
      <c r="C25" s="41">
        <f aca="true" t="shared" si="5" ref="C25:C29">+B25*1.01</f>
        <v>25316226.71</v>
      </c>
      <c r="D25" s="41">
        <v>0</v>
      </c>
      <c r="E25" s="41">
        <f aca="true" t="shared" si="6" ref="E25:E29">+C25+D25</f>
        <v>25316226.71</v>
      </c>
    </row>
    <row r="26" spans="1:5" ht="15">
      <c r="A26" t="s">
        <v>39</v>
      </c>
      <c r="B26" s="41">
        <v>53265713</v>
      </c>
      <c r="C26" s="41">
        <f t="shared" si="5"/>
        <v>53798370.13</v>
      </c>
      <c r="D26" s="41">
        <f>0.025*B26</f>
        <v>1331642.8250000002</v>
      </c>
      <c r="E26" s="41">
        <f>+C26+D26</f>
        <v>55130012.955000006</v>
      </c>
    </row>
    <row r="27" spans="1:5" ht="15">
      <c r="A27" t="s">
        <v>40</v>
      </c>
      <c r="B27" s="41">
        <v>74287354</v>
      </c>
      <c r="C27" s="41">
        <f t="shared" si="5"/>
        <v>75030227.54</v>
      </c>
      <c r="D27" s="41">
        <f>0.02*B27</f>
        <v>1485747.08</v>
      </c>
      <c r="E27" s="41">
        <f t="shared" si="6"/>
        <v>76515974.62</v>
      </c>
    </row>
    <row r="28" spans="1:5" ht="15">
      <c r="A28" t="s">
        <v>41</v>
      </c>
      <c r="B28" s="41">
        <v>31602394</v>
      </c>
      <c r="C28" s="41">
        <f t="shared" si="5"/>
        <v>31918417.94</v>
      </c>
      <c r="D28" s="41">
        <v>0</v>
      </c>
      <c r="E28" s="41">
        <f t="shared" si="6"/>
        <v>31918417.94</v>
      </c>
    </row>
    <row r="29" spans="1:5" ht="15">
      <c r="A29" t="s">
        <v>42</v>
      </c>
      <c r="B29" s="41">
        <v>65680402</v>
      </c>
      <c r="C29" s="41">
        <f t="shared" si="5"/>
        <v>66337206.02</v>
      </c>
      <c r="D29" s="41">
        <f>0.02*B29</f>
        <v>1313608.04</v>
      </c>
      <c r="E29" s="41">
        <f t="shared" si="6"/>
        <v>67650814.06</v>
      </c>
    </row>
    <row r="30" spans="1:5" ht="15">
      <c r="A30" s="17" t="s">
        <v>43</v>
      </c>
      <c r="B30" s="43">
        <f>+SUM(B23:B29)</f>
        <v>638718762</v>
      </c>
      <c r="C30" s="43">
        <f>+SUM(C23:C29)</f>
        <v>622535717.98</v>
      </c>
      <c r="D30" s="43">
        <f>+SUM(D23:D29)</f>
        <v>4130997.9450000003</v>
      </c>
      <c r="E30" s="43">
        <f>+SUM(E23:E29)</f>
        <v>647751799.1423099</v>
      </c>
    </row>
    <row r="31" spans="1:2" ht="15">
      <c r="A31" t="s">
        <v>63</v>
      </c>
      <c r="B31" s="2">
        <f>+B30-B24</f>
        <v>616371998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workbookViewId="0" topLeftCell="A1">
      <selection activeCell="B30" sqref="B30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49</v>
      </c>
      <c r="E2" s="22" t="s">
        <v>50</v>
      </c>
      <c r="F2" s="22" t="s">
        <v>12</v>
      </c>
      <c r="G2" s="22" t="s">
        <v>2</v>
      </c>
    </row>
    <row r="3" spans="1:7" ht="15">
      <c r="A3" s="23" t="s">
        <v>0</v>
      </c>
      <c r="B3" s="24">
        <f>582760256-18624369</f>
        <v>564135887</v>
      </c>
      <c r="C3" s="24">
        <v>625245814</v>
      </c>
      <c r="D3" s="24">
        <v>583868849</v>
      </c>
      <c r="E3" s="24">
        <v>635730835</v>
      </c>
      <c r="F3" s="24">
        <f>+C3-D3</f>
        <v>41376965</v>
      </c>
      <c r="G3" s="25">
        <f aca="true" t="shared" si="0" ref="G3:G8">+F3/D3</f>
        <v>0.07086688229876775</v>
      </c>
    </row>
    <row r="4" spans="1:7" ht="15">
      <c r="A4" s="23" t="s">
        <v>3</v>
      </c>
      <c r="B4" s="24">
        <v>27697587</v>
      </c>
      <c r="C4" s="24">
        <f>1.01*B4</f>
        <v>27974562.87</v>
      </c>
      <c r="D4" s="24">
        <v>23315897</v>
      </c>
      <c r="E4" s="24">
        <v>23641990</v>
      </c>
      <c r="F4" s="24">
        <f>+E4-D4</f>
        <v>326093</v>
      </c>
      <c r="G4" s="25">
        <f t="shared" si="0"/>
        <v>0.013985865523423782</v>
      </c>
    </row>
    <row r="5" spans="1:7" ht="15">
      <c r="A5" s="23" t="s">
        <v>4</v>
      </c>
      <c r="B5" s="24">
        <v>87430935</v>
      </c>
      <c r="C5" s="24">
        <f>1.01*B5</f>
        <v>88305244.35</v>
      </c>
      <c r="D5" s="24">
        <v>87678035</v>
      </c>
      <c r="E5" s="24">
        <v>89355125</v>
      </c>
      <c r="F5" s="24">
        <f>+C5-D5</f>
        <v>627209.349999994</v>
      </c>
      <c r="G5" s="25">
        <f t="shared" si="0"/>
        <v>0.007153551627839219</v>
      </c>
    </row>
    <row r="6" spans="1:7" ht="15">
      <c r="A6" s="23" t="s">
        <v>5</v>
      </c>
      <c r="B6" s="24">
        <v>19398072</v>
      </c>
      <c r="C6" s="24">
        <f>1.01*B6</f>
        <v>19592052.72</v>
      </c>
      <c r="D6" s="24">
        <v>19443654</v>
      </c>
      <c r="E6" s="24">
        <v>19980990</v>
      </c>
      <c r="F6" s="24">
        <f>+C6-D6</f>
        <v>148398.7199999988</v>
      </c>
      <c r="G6" s="25">
        <f t="shared" si="0"/>
        <v>0.007632244433067921</v>
      </c>
    </row>
    <row r="7" spans="1:7" ht="15">
      <c r="A7" s="23" t="s">
        <v>6</v>
      </c>
      <c r="B7" s="24">
        <v>123210996</v>
      </c>
      <c r="C7" s="24">
        <f>1.01*B7</f>
        <v>124443105.96000001</v>
      </c>
      <c r="D7" s="24">
        <v>123483769</v>
      </c>
      <c r="E7" s="24">
        <v>126894921</v>
      </c>
      <c r="F7" s="24">
        <f>+C7-D7</f>
        <v>959336.9600000083</v>
      </c>
      <c r="G7" s="25">
        <f t="shared" si="0"/>
        <v>0.007768931639914622</v>
      </c>
    </row>
    <row r="8" spans="1:7" ht="15">
      <c r="A8" s="23" t="s">
        <v>48</v>
      </c>
      <c r="B8" s="24">
        <v>260186630</v>
      </c>
      <c r="C8" s="24">
        <f>1.01*B8</f>
        <v>262788496.3</v>
      </c>
      <c r="D8" s="24">
        <v>5769754</v>
      </c>
      <c r="E8" s="24">
        <v>5927796</v>
      </c>
      <c r="F8" s="24">
        <f>+E8-D8</f>
        <v>158042</v>
      </c>
      <c r="G8" s="25">
        <f t="shared" si="0"/>
        <v>0.027391462443632778</v>
      </c>
    </row>
    <row r="9" spans="1:7" ht="15">
      <c r="A9" s="23" t="s">
        <v>54</v>
      </c>
      <c r="B9" s="26"/>
      <c r="C9" s="26"/>
      <c r="D9" s="24">
        <f>+D3+D4+D6+D7+D8+16880000</f>
        <v>772761923</v>
      </c>
      <c r="E9" s="26"/>
      <c r="F9" s="26"/>
      <c r="G9" s="26"/>
    </row>
    <row r="10" spans="1:7" ht="15">
      <c r="A10" s="19" t="s">
        <v>55</v>
      </c>
      <c r="B10" s="27"/>
      <c r="C10" s="20"/>
      <c r="D10" s="20"/>
      <c r="E10" s="20"/>
      <c r="F10" s="20"/>
      <c r="G10" s="20"/>
    </row>
    <row r="11" spans="1:7" ht="75">
      <c r="A11" s="28" t="s">
        <v>1</v>
      </c>
      <c r="B11" s="29" t="s">
        <v>10</v>
      </c>
      <c r="C11" s="22" t="s">
        <v>24</v>
      </c>
      <c r="D11" s="29" t="s">
        <v>49</v>
      </c>
      <c r="E11" s="29" t="s">
        <v>56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</f>
        <v>564135887</v>
      </c>
      <c r="C12" s="31">
        <f>1.01*B12+D30</f>
        <v>626107736.5686</v>
      </c>
      <c r="D12" s="31">
        <f>+D3</f>
        <v>583868849</v>
      </c>
      <c r="E12" s="31">
        <v>639512977</v>
      </c>
      <c r="F12" s="24">
        <f>+C12-D12</f>
        <v>42238887.56860006</v>
      </c>
      <c r="G12" s="32">
        <f aca="true" t="shared" si="1" ref="G12:G17">+F12/D12</f>
        <v>0.07234310862952043</v>
      </c>
    </row>
    <row r="13" spans="1:7" s="34" customFormat="1" ht="15">
      <c r="A13" s="30" t="s">
        <v>3</v>
      </c>
      <c r="B13" s="31">
        <v>27697587</v>
      </c>
      <c r="C13" s="31">
        <f aca="true" t="shared" si="2" ref="C13:C17">1.01*B13</f>
        <v>27974562.87</v>
      </c>
      <c r="D13" s="31">
        <v>23315897</v>
      </c>
      <c r="E13" s="31">
        <f>+E4</f>
        <v>23641990</v>
      </c>
      <c r="F13" s="24">
        <f>+E13-D13</f>
        <v>326093</v>
      </c>
      <c r="G13" s="32">
        <f t="shared" si="1"/>
        <v>0.013985865523423782</v>
      </c>
    </row>
    <row r="14" spans="1:7" ht="15">
      <c r="A14" s="30" t="s">
        <v>4</v>
      </c>
      <c r="B14" s="31">
        <v>87430935</v>
      </c>
      <c r="C14" s="31">
        <f t="shared" si="2"/>
        <v>88305244.35</v>
      </c>
      <c r="D14" s="31">
        <v>87678035</v>
      </c>
      <c r="E14" s="31">
        <v>89279857</v>
      </c>
      <c r="F14" s="24">
        <f>+C14-D14</f>
        <v>627209.349999994</v>
      </c>
      <c r="G14" s="32">
        <f t="shared" si="1"/>
        <v>0.007153551627839219</v>
      </c>
    </row>
    <row r="15" spans="1:7" ht="15">
      <c r="A15" s="30" t="s">
        <v>5</v>
      </c>
      <c r="B15" s="31">
        <v>19398072</v>
      </c>
      <c r="C15" s="31">
        <f t="shared" si="2"/>
        <v>19592052.72</v>
      </c>
      <c r="D15" s="31">
        <f>+D6</f>
        <v>19443654</v>
      </c>
      <c r="E15" s="31">
        <v>20055903</v>
      </c>
      <c r="F15" s="31">
        <f>+C15-D15</f>
        <v>148398.7199999988</v>
      </c>
      <c r="G15" s="32">
        <f t="shared" si="1"/>
        <v>0.007632244433067921</v>
      </c>
    </row>
    <row r="16" spans="1:7" ht="15">
      <c r="A16" s="30" t="s">
        <v>6</v>
      </c>
      <c r="B16" s="31">
        <v>123210996</v>
      </c>
      <c r="C16" s="31">
        <f t="shared" si="2"/>
        <v>124443105.96000001</v>
      </c>
      <c r="D16" s="31">
        <v>123483769</v>
      </c>
      <c r="E16" s="31">
        <v>127381803</v>
      </c>
      <c r="F16" s="24">
        <f>+C16-D16</f>
        <v>959336.9600000083</v>
      </c>
      <c r="G16" s="32">
        <f t="shared" si="1"/>
        <v>0.007768931639914622</v>
      </c>
    </row>
    <row r="17" spans="1:7" ht="15">
      <c r="A17" s="30" t="s">
        <v>48</v>
      </c>
      <c r="B17" s="31">
        <v>257587215</v>
      </c>
      <c r="C17" s="31">
        <f t="shared" si="2"/>
        <v>260163087.15</v>
      </c>
      <c r="D17" s="31">
        <v>5769754</v>
      </c>
      <c r="E17" s="31">
        <v>5927796</v>
      </c>
      <c r="F17" s="24">
        <f>+E17-D17</f>
        <v>158042</v>
      </c>
      <c r="G17" s="32">
        <f t="shared" si="1"/>
        <v>0.027391462443632778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>
      <c r="A22" s="44" t="s">
        <v>44</v>
      </c>
      <c r="B22" s="45" t="s">
        <v>51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354943160+248169</f>
        <v>355191329</v>
      </c>
      <c r="C23" s="41">
        <f>+B23*1.01</f>
        <v>358743242.29</v>
      </c>
      <c r="D23" s="41">
        <v>0</v>
      </c>
      <c r="E23" s="41">
        <f>+C23+D23</f>
        <v>358743242.29</v>
      </c>
      <c r="F23" s="2" t="s">
        <v>9</v>
      </c>
    </row>
    <row r="24" spans="1:5" ht="15">
      <c r="A24" t="s">
        <v>37</v>
      </c>
      <c r="B24" s="41">
        <v>21031591</v>
      </c>
      <c r="C24" s="41">
        <f aca="true" t="shared" si="3" ref="C24:C29">+B24*1.01</f>
        <v>21241906.91</v>
      </c>
      <c r="D24" s="41">
        <f>0.02*B24</f>
        <v>420631.82</v>
      </c>
      <c r="E24" s="41">
        <f aca="true" t="shared" si="4" ref="E24:E29">+C24+D24</f>
        <v>21662538.73</v>
      </c>
    </row>
    <row r="25" spans="1:5" ht="15">
      <c r="A25" t="s">
        <v>38</v>
      </c>
      <c r="B25" s="41">
        <v>24277489</v>
      </c>
      <c r="C25" s="41">
        <f t="shared" si="3"/>
        <v>24520263.89</v>
      </c>
      <c r="D25" s="41">
        <v>0</v>
      </c>
      <c r="E25" s="41">
        <f t="shared" si="4"/>
        <v>24520263.89</v>
      </c>
    </row>
    <row r="26" spans="1:5" ht="15">
      <c r="A26" t="s">
        <v>39</v>
      </c>
      <c r="B26" s="42">
        <v>18624369</v>
      </c>
      <c r="C26" s="42" t="s">
        <v>9</v>
      </c>
      <c r="D26" s="42">
        <v>53228280.84</v>
      </c>
      <c r="E26" s="42">
        <f>+D26</f>
        <v>53228280.84</v>
      </c>
    </row>
    <row r="27" spans="1:5" ht="15">
      <c r="A27" t="s">
        <v>40</v>
      </c>
      <c r="B27" s="41">
        <v>70599662</v>
      </c>
      <c r="C27" s="41">
        <f t="shared" si="3"/>
        <v>71305658.62</v>
      </c>
      <c r="D27" s="41">
        <f>0.0203*B27</f>
        <v>1433173.1386</v>
      </c>
      <c r="E27" s="41">
        <f t="shared" si="4"/>
        <v>72738831.75860001</v>
      </c>
    </row>
    <row r="28" spans="1:5" ht="15">
      <c r="A28" t="s">
        <v>41</v>
      </c>
      <c r="B28" s="41">
        <v>30615571</v>
      </c>
      <c r="C28" s="41">
        <f t="shared" si="3"/>
        <v>30921726.71</v>
      </c>
      <c r="D28" s="41">
        <v>0</v>
      </c>
      <c r="E28" s="41">
        <f t="shared" si="4"/>
        <v>30921726.71</v>
      </c>
    </row>
    <row r="29" spans="1:5" ht="15">
      <c r="A29" t="s">
        <v>42</v>
      </c>
      <c r="B29" s="41">
        <v>62420245</v>
      </c>
      <c r="C29" s="41">
        <f t="shared" si="3"/>
        <v>63044447.45</v>
      </c>
      <c r="D29" s="41">
        <f>0.02*B29</f>
        <v>1248404.9000000001</v>
      </c>
      <c r="E29" s="41">
        <f t="shared" si="4"/>
        <v>64292852.35</v>
      </c>
    </row>
    <row r="30" spans="1:5" ht="15">
      <c r="A30" s="17" t="s">
        <v>43</v>
      </c>
      <c r="B30" s="43">
        <f>+SUM(B23:B29)</f>
        <v>582760256</v>
      </c>
      <c r="C30" s="43">
        <f>+SUM(C23:C29)</f>
        <v>569777245.87</v>
      </c>
      <c r="D30" s="43">
        <f>+SUM(D23:D29)</f>
        <v>56330490.6986</v>
      </c>
      <c r="E30" s="43">
        <f>+SUM(E23:E29)</f>
        <v>626107736.5686</v>
      </c>
    </row>
    <row r="31" spans="1:2" ht="15">
      <c r="A31" t="s">
        <v>52</v>
      </c>
      <c r="B31" s="2">
        <f>+B30-B26</f>
        <v>564135887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workbookViewId="0" topLeftCell="A1">
      <selection activeCell="B7" sqref="B7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33</v>
      </c>
      <c r="E2" s="22" t="s">
        <v>34</v>
      </c>
      <c r="F2" s="22" t="s">
        <v>12</v>
      </c>
      <c r="G2" s="22" t="s">
        <v>2</v>
      </c>
    </row>
    <row r="3" spans="1:7" ht="15">
      <c r="A3" s="23" t="s">
        <v>0</v>
      </c>
      <c r="B3" s="24">
        <f>+B29</f>
        <v>563659470</v>
      </c>
      <c r="C3" s="24">
        <f>1.01*B3+D29</f>
        <v>571539141.5615001</v>
      </c>
      <c r="D3" s="24">
        <v>564723767</v>
      </c>
      <c r="E3" s="24">
        <v>581017812</v>
      </c>
      <c r="F3" s="24">
        <f>+C3-D3</f>
        <v>6815374.5615000725</v>
      </c>
      <c r="G3" s="25">
        <f aca="true" t="shared" si="0" ref="G3:G8">+F3/D3</f>
        <v>0.012068510234137308</v>
      </c>
    </row>
    <row r="4" spans="1:7" ht="15">
      <c r="A4" s="23" t="s">
        <v>3</v>
      </c>
      <c r="B4" s="24">
        <v>26893151</v>
      </c>
      <c r="C4" s="24">
        <f>1.01*B4</f>
        <v>27162082.51</v>
      </c>
      <c r="D4" s="24">
        <v>26951390</v>
      </c>
      <c r="E4" s="24">
        <v>27636966</v>
      </c>
      <c r="F4" s="24">
        <f>+C4-D4</f>
        <v>210692.51000000164</v>
      </c>
      <c r="G4" s="25">
        <f t="shared" si="0"/>
        <v>0.00781750069291423</v>
      </c>
    </row>
    <row r="5" spans="1:7" ht="15">
      <c r="A5" s="23" t="s">
        <v>4</v>
      </c>
      <c r="B5" s="24">
        <v>85822015</v>
      </c>
      <c r="C5" s="24">
        <f>1.01*B5</f>
        <v>86680235.15</v>
      </c>
      <c r="D5" s="24">
        <v>82424494</v>
      </c>
      <c r="E5" s="24">
        <v>87620074</v>
      </c>
      <c r="F5" s="24">
        <f>+E5-D5</f>
        <v>5195580</v>
      </c>
      <c r="G5" s="25">
        <f t="shared" si="0"/>
        <v>0.06303441790009655</v>
      </c>
    </row>
    <row r="6" spans="1:7" ht="15">
      <c r="A6" s="23" t="s">
        <v>5</v>
      </c>
      <c r="B6" s="24">
        <v>18834637</v>
      </c>
      <c r="C6" s="24">
        <f>1.01*B6</f>
        <v>19022983.37</v>
      </c>
      <c r="D6" s="24">
        <v>18877155</v>
      </c>
      <c r="E6" s="24">
        <v>19356878</v>
      </c>
      <c r="F6" s="24">
        <f>+C6-D6</f>
        <v>145828.37000000104</v>
      </c>
      <c r="G6" s="25">
        <f t="shared" si="0"/>
        <v>0.007725124363284671</v>
      </c>
    </row>
    <row r="7" spans="1:7" ht="15">
      <c r="A7" s="23" t="s">
        <v>6</v>
      </c>
      <c r="B7" s="24">
        <v>119632114</v>
      </c>
      <c r="C7" s="24">
        <f>1.01*B7</f>
        <v>120828435.14</v>
      </c>
      <c r="D7" s="24">
        <v>119879727</v>
      </c>
      <c r="E7" s="24">
        <v>122928761</v>
      </c>
      <c r="F7" s="24">
        <f>+C7-D7</f>
        <v>948708.1400000006</v>
      </c>
      <c r="G7" s="25">
        <f t="shared" si="0"/>
        <v>0.007913833003640396</v>
      </c>
    </row>
    <row r="8" spans="1:7" ht="15">
      <c r="A8" s="23" t="s">
        <v>48</v>
      </c>
      <c r="B8" s="24">
        <v>257587215</v>
      </c>
      <c r="C8" s="24">
        <f>1.01*B8</f>
        <v>260163087.15</v>
      </c>
      <c r="D8" s="24">
        <v>1183252</v>
      </c>
      <c r="E8" s="24">
        <v>5743199</v>
      </c>
      <c r="F8" s="24">
        <f>+E8-D8</f>
        <v>4559947</v>
      </c>
      <c r="G8" s="25">
        <f t="shared" si="0"/>
        <v>3.853741214889136</v>
      </c>
    </row>
    <row r="9" spans="1:7" ht="15">
      <c r="A9" s="23"/>
      <c r="B9" s="26"/>
      <c r="C9" s="26"/>
      <c r="D9" s="24" t="s">
        <v>9</v>
      </c>
      <c r="E9" s="26"/>
      <c r="F9" s="26"/>
      <c r="G9" s="26"/>
    </row>
    <row r="10" spans="1:7" ht="15">
      <c r="A10" s="19" t="s">
        <v>31</v>
      </c>
      <c r="B10" s="27"/>
      <c r="C10" s="20"/>
      <c r="D10" s="20"/>
      <c r="E10" s="20"/>
      <c r="F10" s="20"/>
      <c r="G10" s="20"/>
    </row>
    <row r="11" spans="1:7" ht="60">
      <c r="A11" s="28" t="s">
        <v>1</v>
      </c>
      <c r="B11" s="29" t="s">
        <v>10</v>
      </c>
      <c r="C11" s="22" t="s">
        <v>24</v>
      </c>
      <c r="D11" s="29" t="s">
        <v>28</v>
      </c>
      <c r="E11" s="29" t="s">
        <v>29</v>
      </c>
      <c r="F11" s="29" t="s">
        <v>12</v>
      </c>
      <c r="G11" s="29" t="s">
        <v>2</v>
      </c>
    </row>
    <row r="12" spans="1:7" ht="15">
      <c r="A12" s="30" t="s">
        <v>0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3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4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5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6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9</v>
      </c>
      <c r="B17" s="31" t="s">
        <v>9</v>
      </c>
      <c r="C17" s="31" t="s">
        <v>9</v>
      </c>
      <c r="D17" s="31" t="s">
        <v>9</v>
      </c>
      <c r="E17" s="31" t="s">
        <v>9</v>
      </c>
      <c r="F17" s="24" t="s">
        <v>9</v>
      </c>
      <c r="G17" s="32" t="s">
        <v>9</v>
      </c>
    </row>
    <row r="18" spans="1:7" ht="15" hidden="1">
      <c r="A18" s="11" t="s">
        <v>15</v>
      </c>
      <c r="B18" s="9" t="s">
        <v>17</v>
      </c>
      <c r="C18" s="9" t="s">
        <v>17</v>
      </c>
      <c r="D18" s="9">
        <v>41283924</v>
      </c>
      <c r="E18" s="9">
        <v>63689234</v>
      </c>
      <c r="F18" s="9" t="s">
        <v>17</v>
      </c>
      <c r="G18" s="9" t="s">
        <v>17</v>
      </c>
    </row>
    <row r="20" spans="1:7" ht="15">
      <c r="A20" s="37" t="s">
        <v>47</v>
      </c>
      <c r="B20" s="36"/>
      <c r="C20" s="36"/>
      <c r="D20" s="36"/>
      <c r="E20" s="36"/>
      <c r="F20" s="40"/>
      <c r="G20" s="40"/>
    </row>
    <row r="21" spans="1:6" ht="15">
      <c r="A21" s="38" t="s">
        <v>44</v>
      </c>
      <c r="B21" s="39" t="s">
        <v>36</v>
      </c>
      <c r="C21" s="39" t="s">
        <v>45</v>
      </c>
      <c r="D21" s="39" t="s">
        <v>46</v>
      </c>
      <c r="E21" s="39" t="s">
        <v>43</v>
      </c>
      <c r="F21" s="2" t="s">
        <v>9</v>
      </c>
    </row>
    <row r="22" spans="1:6" ht="15">
      <c r="A22" t="s">
        <v>35</v>
      </c>
      <c r="B22" s="2">
        <f>344628983+2485</f>
        <v>344631468</v>
      </c>
      <c r="C22" s="2">
        <f>+B22*1.01</f>
        <v>348077782.68</v>
      </c>
      <c r="D22" s="2">
        <v>0</v>
      </c>
      <c r="E22" s="2">
        <f>+C22+D22</f>
        <v>348077782.68</v>
      </c>
      <c r="F22" s="2" t="s">
        <v>9</v>
      </c>
    </row>
    <row r="23" spans="1:5" ht="15">
      <c r="A23" t="s">
        <v>37</v>
      </c>
      <c r="B23" s="2">
        <v>20226189</v>
      </c>
      <c r="C23" s="2">
        <f aca="true" t="shared" si="1" ref="C23:C28">+B23*1.01</f>
        <v>20428450.89</v>
      </c>
      <c r="D23" s="2">
        <f>0.00994*B23</f>
        <v>201048.31866</v>
      </c>
      <c r="E23" s="2">
        <f aca="true" t="shared" si="2" ref="E23:E28">+C23+D23</f>
        <v>20629499.20866</v>
      </c>
    </row>
    <row r="24" spans="1:5" ht="15">
      <c r="A24" t="s">
        <v>38</v>
      </c>
      <c r="B24" s="2">
        <v>23811718</v>
      </c>
      <c r="C24" s="2">
        <f t="shared" si="1"/>
        <v>24049835.18</v>
      </c>
      <c r="D24" s="2">
        <v>0</v>
      </c>
      <c r="E24" s="2">
        <f t="shared" si="2"/>
        <v>24049835.18</v>
      </c>
    </row>
    <row r="25" spans="1:5" ht="15">
      <c r="A25" t="s">
        <v>39</v>
      </c>
      <c r="B25" s="2">
        <v>17911202</v>
      </c>
      <c r="C25" s="2">
        <f t="shared" si="1"/>
        <v>18090314.02</v>
      </c>
      <c r="D25" s="2">
        <f>0.00994*B25</f>
        <v>178037.34788</v>
      </c>
      <c r="E25" s="2">
        <f t="shared" si="2"/>
        <v>18268351.367879998</v>
      </c>
    </row>
    <row r="26" spans="1:5" ht="15">
      <c r="A26" t="s">
        <v>40</v>
      </c>
      <c r="B26" s="2">
        <v>67896084</v>
      </c>
      <c r="C26" s="2">
        <f t="shared" si="1"/>
        <v>68575044.84</v>
      </c>
      <c r="D26" s="2">
        <f>0.00994*B26</f>
        <v>674887.07496</v>
      </c>
      <c r="E26" s="2">
        <f t="shared" si="2"/>
        <v>69249931.91496</v>
      </c>
    </row>
    <row r="27" spans="1:5" ht="15">
      <c r="A27" t="s">
        <v>41</v>
      </c>
      <c r="B27" s="2">
        <v>29727603</v>
      </c>
      <c r="C27" s="2">
        <f t="shared" si="1"/>
        <v>30024879.03</v>
      </c>
      <c r="D27" s="2">
        <v>0</v>
      </c>
      <c r="E27" s="2">
        <f t="shared" si="2"/>
        <v>30024879.03</v>
      </c>
    </row>
    <row r="28" spans="1:5" ht="15">
      <c r="A28" t="s">
        <v>42</v>
      </c>
      <c r="B28" s="2">
        <v>59455206</v>
      </c>
      <c r="C28" s="2">
        <f t="shared" si="1"/>
        <v>60049758.06</v>
      </c>
      <c r="D28" s="2">
        <f>0.02*B28</f>
        <v>1189104.12</v>
      </c>
      <c r="E28" s="2">
        <f t="shared" si="2"/>
        <v>61238862.18</v>
      </c>
    </row>
    <row r="29" spans="1:5" ht="15">
      <c r="A29" s="17" t="s">
        <v>43</v>
      </c>
      <c r="B29" s="35">
        <f>+SUM(B22:B28)</f>
        <v>563659470</v>
      </c>
      <c r="C29" s="35">
        <f>+SUM(C22:C28)</f>
        <v>569296064.7</v>
      </c>
      <c r="D29" s="35">
        <f>+SUM(D22:D28)</f>
        <v>2243076.8615</v>
      </c>
      <c r="E29" s="35">
        <f>+SUM(E22:E28)</f>
        <v>571539141.5615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2"/>
  <sheetViews>
    <sheetView workbookViewId="0" topLeftCell="A1">
      <selection activeCell="E21" sqref="E21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27</v>
      </c>
      <c r="E2" s="22" t="s">
        <v>30</v>
      </c>
      <c r="F2" s="22" t="s">
        <v>12</v>
      </c>
      <c r="G2" s="22" t="s">
        <v>2</v>
      </c>
    </row>
    <row r="3" spans="1:7" ht="15">
      <c r="A3" s="23" t="s">
        <v>0</v>
      </c>
      <c r="B3" s="24">
        <v>461913048</v>
      </c>
      <c r="C3" s="24">
        <f>1.01*B3+79450+29182693</f>
        <v>495794321.48</v>
      </c>
      <c r="D3" s="24">
        <v>462453244</v>
      </c>
      <c r="E3" s="24">
        <f>475522847+29182693</f>
        <v>504705540</v>
      </c>
      <c r="F3" s="24">
        <f>+C3-D3</f>
        <v>33341077.48000002</v>
      </c>
      <c r="G3" s="25">
        <f aca="true" t="shared" si="0" ref="G3:G8">+F3/D3</f>
        <v>0.07209610466047464</v>
      </c>
    </row>
    <row r="4" spans="1:7" ht="15">
      <c r="A4" s="23" t="s">
        <v>3</v>
      </c>
      <c r="B4" s="24">
        <v>26184771</v>
      </c>
      <c r="C4" s="24">
        <f>1.01*B4</f>
        <v>26446618.71</v>
      </c>
      <c r="D4" s="24">
        <v>26253065</v>
      </c>
      <c r="E4" s="24">
        <v>26978396</v>
      </c>
      <c r="F4" s="24">
        <f>+C4-D4</f>
        <v>193553.7100000009</v>
      </c>
      <c r="G4" s="25">
        <f t="shared" si="0"/>
        <v>0.0073726138262332755</v>
      </c>
    </row>
    <row r="5" spans="1:7" ht="15">
      <c r="A5" s="23" t="s">
        <v>4</v>
      </c>
      <c r="B5" s="24">
        <v>85822015</v>
      </c>
      <c r="C5" s="24">
        <f>1.01*B5</f>
        <v>86680235.15</v>
      </c>
      <c r="D5" s="24">
        <v>81182066</v>
      </c>
      <c r="E5" s="24">
        <v>81424917</v>
      </c>
      <c r="F5" s="24">
        <f>+E5-D5</f>
        <v>242851</v>
      </c>
      <c r="G5" s="25">
        <f t="shared" si="0"/>
        <v>0.0029914365569361093</v>
      </c>
    </row>
    <row r="6" spans="1:7" ht="15">
      <c r="A6" s="23" t="s">
        <v>5</v>
      </c>
      <c r="B6" s="24">
        <v>18338880</v>
      </c>
      <c r="C6" s="24">
        <f>1.01*B6</f>
        <v>18522268.8</v>
      </c>
      <c r="D6" s="24">
        <v>18389600</v>
      </c>
      <c r="E6" s="24">
        <v>18943507</v>
      </c>
      <c r="F6" s="24">
        <f>+C6-D6</f>
        <v>132668.80000000075</v>
      </c>
      <c r="G6" s="25">
        <f t="shared" si="0"/>
        <v>0.007214338539174356</v>
      </c>
    </row>
    <row r="7" spans="1:7" ht="15">
      <c r="A7" s="23" t="s">
        <v>6</v>
      </c>
      <c r="B7" s="24">
        <v>116486412</v>
      </c>
      <c r="C7" s="24">
        <f>1.01*B7</f>
        <v>117651276.12</v>
      </c>
      <c r="D7" s="24">
        <v>116769207</v>
      </c>
      <c r="E7" s="24">
        <v>119994274</v>
      </c>
      <c r="F7" s="24">
        <f>+C7-D7</f>
        <v>882069.1200000048</v>
      </c>
      <c r="G7" s="25">
        <f t="shared" si="0"/>
        <v>0.007553953158215802</v>
      </c>
    </row>
    <row r="8" spans="1:7" ht="15">
      <c r="A8" s="23" t="s">
        <v>32</v>
      </c>
      <c r="B8" s="24">
        <v>260181943</v>
      </c>
      <c r="C8" s="24">
        <f>1.01*B8</f>
        <v>262783762.43</v>
      </c>
      <c r="D8" s="24">
        <v>1183252</v>
      </c>
      <c r="E8" s="24">
        <v>1183252</v>
      </c>
      <c r="F8" s="24">
        <f>+E8-D8</f>
        <v>0</v>
      </c>
      <c r="G8" s="25">
        <f t="shared" si="0"/>
        <v>0</v>
      </c>
    </row>
    <row r="9" spans="1:7" ht="15">
      <c r="A9" s="23"/>
      <c r="B9" s="26"/>
      <c r="C9" s="26"/>
      <c r="D9" s="26"/>
      <c r="E9" s="26"/>
      <c r="F9" s="26"/>
      <c r="G9" s="26"/>
    </row>
    <row r="10" spans="1:7" ht="15">
      <c r="A10" s="19" t="s">
        <v>31</v>
      </c>
      <c r="B10" s="27"/>
      <c r="C10" s="20"/>
      <c r="D10" s="20"/>
      <c r="E10" s="20"/>
      <c r="F10" s="20"/>
      <c r="G10" s="20"/>
    </row>
    <row r="11" spans="1:7" ht="60">
      <c r="A11" s="28" t="s">
        <v>1</v>
      </c>
      <c r="B11" s="29" t="s">
        <v>10</v>
      </c>
      <c r="C11" s="22" t="s">
        <v>24</v>
      </c>
      <c r="D11" s="29" t="s">
        <v>28</v>
      </c>
      <c r="E11" s="29" t="s">
        <v>29</v>
      </c>
      <c r="F11" s="29" t="s">
        <v>12</v>
      </c>
      <c r="G11" s="29" t="s">
        <v>2</v>
      </c>
    </row>
    <row r="12" spans="1:7" ht="15">
      <c r="A12" s="30" t="s">
        <v>0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3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4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5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6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9</v>
      </c>
      <c r="B17" s="31" t="s">
        <v>9</v>
      </c>
      <c r="C17" s="31" t="s">
        <v>9</v>
      </c>
      <c r="D17" s="31" t="s">
        <v>9</v>
      </c>
      <c r="E17" s="31" t="s">
        <v>9</v>
      </c>
      <c r="F17" s="24" t="s">
        <v>9</v>
      </c>
      <c r="G17" s="32" t="s">
        <v>9</v>
      </c>
    </row>
    <row r="18" spans="1:7" ht="15" hidden="1">
      <c r="A18" s="11" t="s">
        <v>15</v>
      </c>
      <c r="B18" s="9" t="s">
        <v>17</v>
      </c>
      <c r="C18" s="9" t="s">
        <v>17</v>
      </c>
      <c r="D18" s="9">
        <v>41283924</v>
      </c>
      <c r="E18" s="9">
        <v>63689234</v>
      </c>
      <c r="F18" s="9" t="s">
        <v>17</v>
      </c>
      <c r="G18" s="9" t="s">
        <v>17</v>
      </c>
    </row>
    <row r="21" ht="15">
      <c r="F21" s="2" t="s">
        <v>9</v>
      </c>
    </row>
    <row r="22" ht="15">
      <c r="F22" s="2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workbookViewId="0" topLeftCell="A1">
      <selection activeCell="D3" sqref="D3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20</v>
      </c>
      <c r="E2" s="22" t="s">
        <v>23</v>
      </c>
      <c r="F2" s="22" t="s">
        <v>12</v>
      </c>
      <c r="G2" s="22" t="s">
        <v>2</v>
      </c>
    </row>
    <row r="3" spans="1:7" ht="15">
      <c r="A3" s="23" t="s">
        <v>0</v>
      </c>
      <c r="B3" s="24">
        <v>449015575</v>
      </c>
      <c r="C3" s="24">
        <f>1.01*B3+1222351.41</f>
        <v>454728082.16</v>
      </c>
      <c r="D3" s="24">
        <v>450832183</v>
      </c>
      <c r="E3" s="24">
        <v>462168094</v>
      </c>
      <c r="F3" s="24">
        <f>+C3-D3</f>
        <v>3895899.160000026</v>
      </c>
      <c r="G3" s="25">
        <f>+F3/D3</f>
        <v>0.008641572866593747</v>
      </c>
    </row>
    <row r="4" spans="1:7" ht="15">
      <c r="A4" s="23" t="s">
        <v>3</v>
      </c>
      <c r="B4" s="24">
        <v>25524309</v>
      </c>
      <c r="C4" s="24">
        <f>1.01*B4</f>
        <v>25779552.09</v>
      </c>
      <c r="D4" s="24">
        <v>25426082</v>
      </c>
      <c r="E4" s="24">
        <v>26231515</v>
      </c>
      <c r="F4" s="24">
        <f>+C4-D4</f>
        <v>353470.08999999985</v>
      </c>
      <c r="G4" s="25">
        <f>+F4/D4</f>
        <v>0.01390187013476948</v>
      </c>
    </row>
    <row r="5" spans="1:7" ht="15">
      <c r="A5" s="23" t="s">
        <v>4</v>
      </c>
      <c r="B5" s="24">
        <v>87353453</v>
      </c>
      <c r="C5" s="24">
        <f>1.01*B5</f>
        <v>88226987.53</v>
      </c>
      <c r="D5" s="24">
        <v>71721038</v>
      </c>
      <c r="E5" s="24">
        <v>78863300</v>
      </c>
      <c r="F5" s="24">
        <f>+E5-D5</f>
        <v>7142262</v>
      </c>
      <c r="G5" s="25">
        <f>+F5/D5</f>
        <v>0.09958391845918348</v>
      </c>
    </row>
    <row r="6" spans="1:7" ht="15">
      <c r="A6" s="23" t="s">
        <v>5</v>
      </c>
      <c r="B6" s="24">
        <v>17874001</v>
      </c>
      <c r="C6" s="24">
        <f>1.01*B6</f>
        <v>18052741.01</v>
      </c>
      <c r="D6" s="24">
        <v>17955638</v>
      </c>
      <c r="E6" s="24">
        <v>18380304</v>
      </c>
      <c r="F6" s="24">
        <f>+C6-D6</f>
        <v>97103.01000000164</v>
      </c>
      <c r="G6" s="25">
        <f>+F6/D6</f>
        <v>0.0054079398348308005</v>
      </c>
    </row>
    <row r="7" spans="1:7" ht="15">
      <c r="A7" s="23" t="s">
        <v>6</v>
      </c>
      <c r="B7" s="24">
        <v>113541015</v>
      </c>
      <c r="C7" s="24">
        <f>1.01*B7</f>
        <v>114676425.15</v>
      </c>
      <c r="D7" s="24">
        <v>113541015</v>
      </c>
      <c r="E7" s="24">
        <v>116715592</v>
      </c>
      <c r="F7" s="24">
        <f>+C7-D7</f>
        <v>1135410.150000006</v>
      </c>
      <c r="G7" s="25">
        <f>+F7/D7</f>
        <v>0.010000000000000052</v>
      </c>
    </row>
    <row r="8" spans="1:7" ht="15">
      <c r="A8" s="23"/>
      <c r="B8" s="26"/>
      <c r="C8" s="26"/>
      <c r="D8" s="26"/>
      <c r="E8" s="26"/>
      <c r="F8" s="26"/>
      <c r="G8" s="26"/>
    </row>
    <row r="9" spans="1:7" ht="15">
      <c r="A9" s="19" t="s">
        <v>25</v>
      </c>
      <c r="B9" s="27"/>
      <c r="C9" s="20"/>
      <c r="D9" s="20"/>
      <c r="E9" s="20"/>
      <c r="F9" s="20"/>
      <c r="G9" s="20"/>
    </row>
    <row r="10" spans="1:7" ht="60">
      <c r="A10" s="28" t="s">
        <v>1</v>
      </c>
      <c r="B10" s="29" t="s">
        <v>10</v>
      </c>
      <c r="C10" s="22" t="s">
        <v>24</v>
      </c>
      <c r="D10" s="29" t="s">
        <v>22</v>
      </c>
      <c r="E10" s="29" t="s">
        <v>26</v>
      </c>
      <c r="F10" s="29" t="s">
        <v>12</v>
      </c>
      <c r="G10" s="29" t="s">
        <v>2</v>
      </c>
    </row>
    <row r="11" spans="1:7" ht="15">
      <c r="A11" s="30" t="s">
        <v>0</v>
      </c>
      <c r="B11" s="31">
        <v>449015575</v>
      </c>
      <c r="C11" s="31">
        <f>1.01*B11</f>
        <v>453505730.75</v>
      </c>
      <c r="D11" s="31">
        <f>+D3</f>
        <v>450832183</v>
      </c>
      <c r="E11" s="31">
        <v>462453243</v>
      </c>
      <c r="F11" s="24">
        <f>+C11-D11</f>
        <v>2673547.75</v>
      </c>
      <c r="G11" s="32">
        <f>+F11/D11</f>
        <v>0.00593025043644677</v>
      </c>
    </row>
    <row r="12" spans="1:7" s="34" customFormat="1" ht="15">
      <c r="A12" s="30" t="s">
        <v>3</v>
      </c>
      <c r="B12" s="31">
        <v>25524309</v>
      </c>
      <c r="C12" s="31">
        <f>1.01*B12</f>
        <v>25779552.09</v>
      </c>
      <c r="D12" s="31">
        <f aca="true" t="shared" si="0" ref="D12:D15">+D4</f>
        <v>25426082</v>
      </c>
      <c r="E12" s="31">
        <v>26217172</v>
      </c>
      <c r="F12" s="33">
        <f>+C12-D12</f>
        <v>353470.08999999985</v>
      </c>
      <c r="G12" s="32">
        <f>+F12/D12</f>
        <v>0.01390187013476948</v>
      </c>
    </row>
    <row r="13" spans="1:7" ht="15">
      <c r="A13" s="30" t="s">
        <v>4</v>
      </c>
      <c r="B13" s="31">
        <v>85822015</v>
      </c>
      <c r="C13" s="31">
        <f>1.01*B13</f>
        <v>86680235.15</v>
      </c>
      <c r="D13" s="31">
        <f t="shared" si="0"/>
        <v>71721038</v>
      </c>
      <c r="E13" s="31">
        <v>81063326</v>
      </c>
      <c r="F13" s="24">
        <f>+E13-D13</f>
        <v>9342288</v>
      </c>
      <c r="G13" s="32">
        <f>+F13/D13</f>
        <v>0.130258683651511</v>
      </c>
    </row>
    <row r="14" spans="1:7" ht="15">
      <c r="A14" s="30" t="s">
        <v>5</v>
      </c>
      <c r="B14" s="31">
        <v>17874001</v>
      </c>
      <c r="C14" s="31">
        <f>1.01*B14</f>
        <v>18052741.01</v>
      </c>
      <c r="D14" s="31">
        <f t="shared" si="0"/>
        <v>17955638</v>
      </c>
      <c r="E14" s="31">
        <v>18364254</v>
      </c>
      <c r="F14" s="31">
        <f>+C14-D14</f>
        <v>97103.01000000164</v>
      </c>
      <c r="G14" s="32">
        <f>+F14/D14</f>
        <v>0.0054079398348308005</v>
      </c>
    </row>
    <row r="15" spans="1:7" ht="15">
      <c r="A15" s="30" t="s">
        <v>6</v>
      </c>
      <c r="B15" s="31">
        <v>113541015</v>
      </c>
      <c r="C15" s="31">
        <f>1.01*B15</f>
        <v>114676425.15</v>
      </c>
      <c r="D15" s="31">
        <f t="shared" si="0"/>
        <v>113541015</v>
      </c>
      <c r="E15" s="31">
        <v>116608875</v>
      </c>
      <c r="F15" s="24">
        <f>+C15-D15</f>
        <v>1135410.150000006</v>
      </c>
      <c r="G15" s="32">
        <f>+F15/D15</f>
        <v>0.010000000000000052</v>
      </c>
    </row>
    <row r="16" spans="1:7" ht="15" hidden="1">
      <c r="A16" s="11" t="s">
        <v>15</v>
      </c>
      <c r="B16" s="9" t="s">
        <v>17</v>
      </c>
      <c r="C16" s="9" t="s">
        <v>17</v>
      </c>
      <c r="D16" s="9">
        <v>41283924</v>
      </c>
      <c r="E16" s="9">
        <v>63689234</v>
      </c>
      <c r="F16" s="9" t="s">
        <v>17</v>
      </c>
      <c r="G16" s="9" t="s">
        <v>17</v>
      </c>
    </row>
    <row r="19" ht="15">
      <c r="F19" s="2" t="s">
        <v>9</v>
      </c>
    </row>
    <row r="20" ht="15">
      <c r="F20" s="2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21a3a7adacf3a3070ca1f19d78f0ea7c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67fa82109f23653f1aa5d62175ee82f5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 xsi:nil="true"/>
    <Analyst xmlns="7e2aceee-b130-49c7-9ac9-b26cc173b916">
      <UserInfo>
        <DisplayName/>
        <AccountId xsi:nil="true"/>
        <AccountType/>
      </UserInfo>
    </Analyst>
    <PSBSection xmlns="7e2aceee-b130-49c7-9ac9-b26cc173b916" xsi:nil="true"/>
    <BookSection xmlns="7e2aceee-b130-49c7-9ac9-b26cc173b916" xsi:nil="true"/>
    <DocType xmlns="7e2aceee-b130-49c7-9ac9-b26cc173b916" xsi:nil="true"/>
  </documentManagement>
</p:properties>
</file>

<file path=customXml/itemProps1.xml><?xml version="1.0" encoding="utf-8"?>
<ds:datastoreItem xmlns:ds="http://schemas.openxmlformats.org/officeDocument/2006/customXml" ds:itemID="{FDB6C131-4C2A-4ED9-A96F-C49DE123FA9D}"/>
</file>

<file path=customXml/itemProps2.xml><?xml version="1.0" encoding="utf-8"?>
<ds:datastoreItem xmlns:ds="http://schemas.openxmlformats.org/officeDocument/2006/customXml" ds:itemID="{888375F6-81EC-421D-88BF-077B96EA53F5}"/>
</file>

<file path=customXml/itemProps3.xml><?xml version="1.0" encoding="utf-8"?>
<ds:datastoreItem xmlns:ds="http://schemas.openxmlformats.org/officeDocument/2006/customXml" ds:itemID="{A8589B09-1C9C-46F1-8A5C-3F4786610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Walsh, James</cp:lastModifiedBy>
  <cp:lastPrinted>2021-09-13T17:39:48Z</cp:lastPrinted>
  <dcterms:created xsi:type="dcterms:W3CDTF">2012-08-31T18:15:32Z</dcterms:created>
  <dcterms:modified xsi:type="dcterms:W3CDTF">2022-09-08T21:46:58Z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</Properties>
</file>