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2120" windowHeight="9120" activeTab="0"/>
  </bookViews>
  <sheets>
    <sheet name="Attachment D" sheetId="1" r:id="rId1"/>
  </sheets>
  <externalReferences>
    <externalReference r:id="rId4"/>
    <externalReference r:id="rId5"/>
    <externalReference r:id="rId6"/>
    <externalReference r:id="rId7"/>
  </externalReferences>
  <definedNames>
    <definedName name="Amount_of_Reduction">'[3]CXBook'!#REF!</definedName>
    <definedName name="CX_98_proposed">'[3]CXBook'!#REF!</definedName>
    <definedName name="mbase695">'[4]QryMbase695'!$A$2:$E$84</definedName>
    <definedName name="Percent_of_CX">'[3]CXBook'!#REF!</definedName>
    <definedName name="test">'[1]Allotment Plan'!#REF!</definedName>
  </definedNames>
  <calcPr fullCalcOnLoad="1"/>
</workbook>
</file>

<file path=xl/comments1.xml><?xml version="1.0" encoding="utf-8"?>
<comments xmlns="http://schemas.openxmlformats.org/spreadsheetml/2006/main">
  <authors>
    <author>keesej</author>
  </authors>
  <commentList>
    <comment ref="E6" authorId="0">
      <text>
        <r>
          <rPr>
            <b/>
            <sz val="8"/>
            <rFont val="Tahoma"/>
            <family val="0"/>
          </rPr>
          <t>keesej:</t>
        </r>
        <r>
          <rPr>
            <sz val="8"/>
            <rFont val="Tahoma"/>
            <family val="0"/>
          </rPr>
          <t xml:space="preserve">
7.5 Overtime</t>
        </r>
      </text>
    </comment>
    <comment ref="F6" authorId="0">
      <text>
        <r>
          <rPr>
            <b/>
            <sz val="8"/>
            <rFont val="Tahoma"/>
            <family val="0"/>
          </rPr>
          <t>keesej:</t>
        </r>
        <r>
          <rPr>
            <sz val="8"/>
            <rFont val="Tahoma"/>
            <family val="0"/>
          </rPr>
          <t xml:space="preserve">
3h overtime</t>
        </r>
      </text>
    </comment>
  </commentList>
</comments>
</file>

<file path=xl/sharedStrings.xml><?xml version="1.0" encoding="utf-8"?>
<sst xmlns="http://schemas.openxmlformats.org/spreadsheetml/2006/main" count="56" uniqueCount="38">
  <si>
    <t>Utilization Calculation:</t>
  </si>
  <si>
    <t>Jan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</si>
  <si>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</si>
  <si>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</si>
  <si>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</si>
  <si>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</si>
  <si>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</si>
  <si>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</si>
  <si>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</si>
  <si>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</si>
  <si>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</si>
  <si>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</si>
  <si>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</si>
  <si>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2nd Quarter Total</t>
  </si>
  <si>
    <t>Photo - Edwin Ahrens</t>
  </si>
  <si>
    <t>Revenue from Photo</t>
  </si>
  <si>
    <t>hourly rate</t>
  </si>
  <si>
    <t>Hours Billed</t>
  </si>
  <si>
    <t>Regular work hours</t>
  </si>
  <si>
    <t>Vacation/leave/holiday</t>
  </si>
  <si>
    <t>Net work hours</t>
  </si>
  <si>
    <t>Breaks/Clean-up (1 hr per work day)</t>
  </si>
  <si>
    <t>Potential Billable Hours</t>
  </si>
  <si>
    <t>Utilization</t>
  </si>
  <si>
    <t>Video -Robert Hamilton</t>
  </si>
  <si>
    <t>Revenue from Video</t>
  </si>
  <si>
    <t>Graphics</t>
  </si>
  <si>
    <t>Revenue from Graphics</t>
  </si>
  <si>
    <t>Target Utilization</t>
  </si>
  <si>
    <t>Paid Hours</t>
  </si>
  <si>
    <t>Holidays</t>
  </si>
  <si>
    <t>Vacations</t>
  </si>
  <si>
    <t>Sick Leave</t>
  </si>
  <si>
    <t>Breaks</t>
  </si>
  <si>
    <t>30 min. per day for days worked</t>
  </si>
  <si>
    <t>Clean Up</t>
  </si>
  <si>
    <t>Billability Ratio</t>
  </si>
  <si>
    <t>Billable Hours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</si>
</sst>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_(* #,##0.000_);_(* \(#,##0.000\);_(* &quot;-&quot;???_);_(@_)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164" fontId="5" fillId="0" borderId="1" xfId="15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6" fillId="0" borderId="0" xfId="15" applyNumberFormat="1" applyFont="1" applyAlignment="1">
      <alignment/>
    </xf>
    <xf numFmtId="9" fontId="0" fillId="0" borderId="0" xfId="2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0" fillId="0" borderId="0" xfId="0" applyAlignment="1">
      <alignment/>
    </xf>
    <xf numFmtId="9" fontId="0" fillId="0" borderId="1" xfId="0" applyNumberFormat="1" applyBorder="1" applyAlignment="1">
      <alignment/>
    </xf>
    <xf numFmtId="164" fontId="0" fillId="0" borderId="0" xfId="21" applyNumberFormat="1" applyAlignment="1">
      <alignment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amp;GA%20Business%20Study\2006\June\June%20PGA%20Performance%20Report%20incl.%20outstanding%20pm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eesej.KC\Local%20Settings\Temporary%20Internet%20Files\OLK16\PG&amp;A%20MAR%20MMR%20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99\EXPTB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OH Allocation"/>
      <sheetName val="Attachment C"/>
      <sheetName val="Perfomance Details"/>
      <sheetName val="Allotment Plan"/>
      <sheetName val="Attachment D2"/>
      <sheetName val="Correction entries"/>
      <sheetName val="Attachment D"/>
    </sheetNames>
    <sheetDataSet>
      <sheetData sheetId="1">
        <row r="23">
          <cell r="E23">
            <v>26343.02</v>
          </cell>
          <cell r="F23">
            <v>36171.56</v>
          </cell>
          <cell r="G23">
            <v>2999.5</v>
          </cell>
          <cell r="H23">
            <v>45959.64000000001</v>
          </cell>
          <cell r="I23">
            <v>61218.21000000001</v>
          </cell>
        </row>
        <row r="29">
          <cell r="E29">
            <v>2309.28</v>
          </cell>
          <cell r="F29">
            <v>17519.89</v>
          </cell>
          <cell r="G29">
            <v>14975.43</v>
          </cell>
          <cell r="H29">
            <v>7756</v>
          </cell>
          <cell r="I29">
            <v>147.83</v>
          </cell>
        </row>
        <row r="35">
          <cell r="E35">
            <v>8275.15</v>
          </cell>
          <cell r="F35">
            <v>4314.07</v>
          </cell>
          <cell r="G35">
            <v>5544.57</v>
          </cell>
          <cell r="H35">
            <v>2905.32</v>
          </cell>
          <cell r="I35">
            <v>5642.28</v>
          </cell>
        </row>
      </sheetData>
      <sheetData sheetId="4">
        <row r="11">
          <cell r="H11">
            <v>21169.92</v>
          </cell>
        </row>
        <row r="12">
          <cell r="H12">
            <v>11895.18</v>
          </cell>
        </row>
        <row r="13">
          <cell r="H13">
            <v>11251.45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"/>
      <sheetName val="Financial 2"/>
      <sheetName val="Financial 1"/>
      <sheetName val="Summary-Att.A"/>
      <sheetName val="FInancial-Att.B"/>
      <sheetName val="Fin History"/>
      <sheetName val="Utilization-Att.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34.140625" style="0" customWidth="1"/>
    <col min="2" max="2" width="14.28125" style="5" customWidth="1"/>
    <col min="3" max="3" width="14.8515625" style="5" customWidth="1"/>
    <col min="4" max="4" width="10.28125" style="0" customWidth="1"/>
    <col min="8" max="12" width="9.140625" style="0" hidden="1" customWidth="1"/>
    <col min="13" max="13" width="7.8515625" style="0" hidden="1" customWidth="1"/>
    <col min="14" max="14" width="17.28125" style="0" customWidth="1"/>
  </cols>
  <sheetData>
    <row r="1" spans="1:14" s="3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12.75">
      <c r="A2" s="4" t="s">
        <v>14</v>
      </c>
    </row>
    <row r="3" spans="1:14" s="5" customFormat="1" ht="12.75">
      <c r="A3" s="5" t="s">
        <v>15</v>
      </c>
      <c r="B3" s="5">
        <f>'[1]Attachment B'!E29</f>
        <v>2309.28</v>
      </c>
      <c r="C3" s="5">
        <f>'[1]Attachment B'!F29</f>
        <v>17519.89</v>
      </c>
      <c r="D3" s="5">
        <f>'[1]Attachment B'!G29</f>
        <v>14975.43</v>
      </c>
      <c r="E3" s="5">
        <f>'[1]Attachment B'!H29</f>
        <v>7756</v>
      </c>
      <c r="F3" s="5">
        <f>'[1]Attachment B'!I29</f>
        <v>147.83</v>
      </c>
      <c r="G3" s="5">
        <f>'[1]Perfomance Details'!H12</f>
        <v>11895.18</v>
      </c>
      <c r="H3" s="5" t="e">
        <f>'[2]FInancial-Att.B'!I12</f>
        <v>#REF!</v>
      </c>
      <c r="I3" s="5" t="e">
        <f>'[2]FInancial-Att.B'!J12</f>
        <v>#REF!</v>
      </c>
      <c r="J3" s="5" t="e">
        <f>'[2]FInancial-Att.B'!K12</f>
        <v>#REF!</v>
      </c>
      <c r="K3" s="5" t="e">
        <f>'[2]FInancial-Att.B'!L12</f>
        <v>#REF!</v>
      </c>
      <c r="L3" s="5" t="e">
        <f>'[2]FInancial-Att.B'!M12</f>
        <v>#REF!</v>
      </c>
      <c r="M3" s="5" t="e">
        <f>'[2]FInancial-Att.B'!N12</f>
        <v>#REF!</v>
      </c>
      <c r="N3" s="5">
        <f>SUM(B3:G3)</f>
        <v>54603.61</v>
      </c>
    </row>
    <row r="4" spans="1:14" s="5" customFormat="1" ht="12.75">
      <c r="A4" s="6" t="s">
        <v>16</v>
      </c>
      <c r="B4" s="5">
        <v>75</v>
      </c>
      <c r="C4" s="5">
        <v>75</v>
      </c>
      <c r="D4" s="5">
        <v>75</v>
      </c>
      <c r="E4" s="5">
        <v>75</v>
      </c>
      <c r="F4" s="5">
        <v>75</v>
      </c>
      <c r="G4" s="5">
        <v>75</v>
      </c>
      <c r="H4" s="5">
        <v>75</v>
      </c>
      <c r="I4" s="5">
        <v>75</v>
      </c>
      <c r="J4" s="5">
        <v>75</v>
      </c>
      <c r="K4" s="5">
        <v>75</v>
      </c>
      <c r="L4" s="5">
        <v>75</v>
      </c>
      <c r="M4" s="5">
        <v>75</v>
      </c>
      <c r="N4" s="5">
        <f>G4</f>
        <v>75</v>
      </c>
    </row>
    <row r="5" spans="1:14" s="5" customFormat="1" ht="12.75">
      <c r="A5" s="5" t="s">
        <v>17</v>
      </c>
      <c r="B5" s="5">
        <f aca="true" t="shared" si="0" ref="B5:M5">B3/B4</f>
        <v>30.7904</v>
      </c>
      <c r="C5" s="5">
        <f t="shared" si="0"/>
        <v>233.59853333333334</v>
      </c>
      <c r="D5" s="5">
        <f t="shared" si="0"/>
        <v>199.6724</v>
      </c>
      <c r="E5" s="5">
        <f t="shared" si="0"/>
        <v>103.41333333333333</v>
      </c>
      <c r="F5" s="5">
        <f t="shared" si="0"/>
        <v>1.9710666666666667</v>
      </c>
      <c r="G5" s="5">
        <f t="shared" si="0"/>
        <v>158.60240000000002</v>
      </c>
      <c r="H5" s="5" t="e">
        <f t="shared" si="0"/>
        <v>#REF!</v>
      </c>
      <c r="I5" s="5" t="e">
        <f t="shared" si="0"/>
        <v>#REF!</v>
      </c>
      <c r="J5" s="5" t="e">
        <f t="shared" si="0"/>
        <v>#REF!</v>
      </c>
      <c r="K5" s="5" t="e">
        <f t="shared" si="0"/>
        <v>#REF!</v>
      </c>
      <c r="L5" s="5" t="e">
        <f t="shared" si="0"/>
        <v>#REF!</v>
      </c>
      <c r="M5" s="5" t="e">
        <f t="shared" si="0"/>
        <v>#REF!</v>
      </c>
      <c r="N5" s="5">
        <f aca="true" t="shared" si="1" ref="N5:N10">SUM(B5:G5)</f>
        <v>728.0481333333332</v>
      </c>
    </row>
    <row r="6" spans="1:14" s="5" customFormat="1" ht="12.75">
      <c r="A6" s="5" t="s">
        <v>18</v>
      </c>
      <c r="B6" s="7">
        <v>182.5</v>
      </c>
      <c r="C6" s="7">
        <v>160</v>
      </c>
      <c r="D6" s="7">
        <v>184</v>
      </c>
      <c r="E6" s="7">
        <v>167.5</v>
      </c>
      <c r="F6" s="7">
        <v>187</v>
      </c>
      <c r="G6" s="7">
        <v>176</v>
      </c>
      <c r="H6" s="7">
        <v>168</v>
      </c>
      <c r="I6" s="7">
        <v>160</v>
      </c>
      <c r="J6" s="7">
        <v>179.75</v>
      </c>
      <c r="K6" s="7">
        <v>168</v>
      </c>
      <c r="L6" s="7">
        <v>176</v>
      </c>
      <c r="M6" s="7"/>
      <c r="N6" s="5">
        <f t="shared" si="1"/>
        <v>1057</v>
      </c>
    </row>
    <row r="7" spans="1:14" s="5" customFormat="1" ht="12.75">
      <c r="A7" s="5" t="s">
        <v>19</v>
      </c>
      <c r="B7" s="7">
        <f>4.5+8+8</f>
        <v>20.5</v>
      </c>
      <c r="C7" s="7">
        <v>16</v>
      </c>
      <c r="D7" s="7">
        <v>8</v>
      </c>
      <c r="E7" s="7">
        <v>8</v>
      </c>
      <c r="F7" s="7">
        <f>3+8+8+8</f>
        <v>27</v>
      </c>
      <c r="G7" s="7">
        <v>57</v>
      </c>
      <c r="H7" s="7">
        <f>8+32+13.5+8+8</f>
        <v>69.5</v>
      </c>
      <c r="I7" s="7">
        <f>9</f>
        <v>9</v>
      </c>
      <c r="J7" s="7">
        <f>8+8</f>
        <v>16</v>
      </c>
      <c r="K7" s="7">
        <f>4</f>
        <v>4</v>
      </c>
      <c r="L7" s="7">
        <v>24</v>
      </c>
      <c r="M7" s="7"/>
      <c r="N7" s="5">
        <f t="shared" si="1"/>
        <v>136.5</v>
      </c>
    </row>
    <row r="8" spans="1:14" s="5" customFormat="1" ht="12.75">
      <c r="A8" s="5" t="s">
        <v>20</v>
      </c>
      <c r="B8" s="5">
        <f aca="true" t="shared" si="2" ref="B8:M8">B6-B7</f>
        <v>162</v>
      </c>
      <c r="C8" s="5">
        <f t="shared" si="2"/>
        <v>144</v>
      </c>
      <c r="D8" s="5">
        <f t="shared" si="2"/>
        <v>176</v>
      </c>
      <c r="E8" s="5">
        <f t="shared" si="2"/>
        <v>159.5</v>
      </c>
      <c r="F8" s="5">
        <f t="shared" si="2"/>
        <v>160</v>
      </c>
      <c r="G8" s="5">
        <f t="shared" si="2"/>
        <v>119</v>
      </c>
      <c r="H8" s="5">
        <f t="shared" si="2"/>
        <v>98.5</v>
      </c>
      <c r="I8" s="5">
        <f t="shared" si="2"/>
        <v>151</v>
      </c>
      <c r="J8" s="5">
        <f t="shared" si="2"/>
        <v>163.75</v>
      </c>
      <c r="K8" s="5">
        <f t="shared" si="2"/>
        <v>164</v>
      </c>
      <c r="L8" s="5">
        <f t="shared" si="2"/>
        <v>152</v>
      </c>
      <c r="M8" s="5">
        <f t="shared" si="2"/>
        <v>0</v>
      </c>
      <c r="N8" s="5">
        <f t="shared" si="1"/>
        <v>920.5</v>
      </c>
    </row>
    <row r="9" spans="1:14" s="5" customFormat="1" ht="12.75">
      <c r="A9" s="5" t="s">
        <v>21</v>
      </c>
      <c r="B9" s="5">
        <f aca="true" t="shared" si="3" ref="B9:M9">B8/8</f>
        <v>20.25</v>
      </c>
      <c r="C9" s="5">
        <f t="shared" si="3"/>
        <v>18</v>
      </c>
      <c r="D9" s="5">
        <f t="shared" si="3"/>
        <v>22</v>
      </c>
      <c r="E9" s="5">
        <f t="shared" si="3"/>
        <v>19.9375</v>
      </c>
      <c r="F9" s="5">
        <f t="shared" si="3"/>
        <v>20</v>
      </c>
      <c r="G9" s="5">
        <f t="shared" si="3"/>
        <v>14.875</v>
      </c>
      <c r="H9" s="5">
        <f t="shared" si="3"/>
        <v>12.3125</v>
      </c>
      <c r="I9" s="5">
        <f t="shared" si="3"/>
        <v>18.875</v>
      </c>
      <c r="J9" s="5">
        <f t="shared" si="3"/>
        <v>20.46875</v>
      </c>
      <c r="K9" s="5">
        <f t="shared" si="3"/>
        <v>20.5</v>
      </c>
      <c r="L9" s="5">
        <f t="shared" si="3"/>
        <v>19</v>
      </c>
      <c r="M9" s="5">
        <f t="shared" si="3"/>
        <v>0</v>
      </c>
      <c r="N9" s="5">
        <f t="shared" si="1"/>
        <v>115.0625</v>
      </c>
    </row>
    <row r="10" spans="1:14" s="5" customFormat="1" ht="12.75">
      <c r="A10" s="5" t="s">
        <v>22</v>
      </c>
      <c r="B10" s="5">
        <f aca="true" t="shared" si="4" ref="B10:M10">B8-B9</f>
        <v>141.75</v>
      </c>
      <c r="C10" s="5">
        <f t="shared" si="4"/>
        <v>126</v>
      </c>
      <c r="D10" s="5">
        <f t="shared" si="4"/>
        <v>154</v>
      </c>
      <c r="E10" s="5">
        <f t="shared" si="4"/>
        <v>139.5625</v>
      </c>
      <c r="F10" s="5">
        <f t="shared" si="4"/>
        <v>140</v>
      </c>
      <c r="G10" s="5">
        <f t="shared" si="4"/>
        <v>104.125</v>
      </c>
      <c r="H10" s="5">
        <f t="shared" si="4"/>
        <v>86.1875</v>
      </c>
      <c r="I10" s="5">
        <f t="shared" si="4"/>
        <v>132.125</v>
      </c>
      <c r="J10" s="5">
        <f t="shared" si="4"/>
        <v>143.28125</v>
      </c>
      <c r="K10" s="5">
        <f t="shared" si="4"/>
        <v>143.5</v>
      </c>
      <c r="L10" s="5">
        <f t="shared" si="4"/>
        <v>133</v>
      </c>
      <c r="M10" s="5">
        <f t="shared" si="4"/>
        <v>0</v>
      </c>
      <c r="N10" s="5">
        <f t="shared" si="1"/>
        <v>805.4375</v>
      </c>
    </row>
    <row r="11" spans="1:14" ht="12.75">
      <c r="A11" t="s">
        <v>23</v>
      </c>
      <c r="B11" s="8">
        <f aca="true" t="shared" si="5" ref="B11:N11">B5/B10</f>
        <v>0.2172162257495591</v>
      </c>
      <c r="C11" s="8">
        <f t="shared" si="5"/>
        <v>1.8539566137566137</v>
      </c>
      <c r="D11" s="8">
        <f t="shared" si="5"/>
        <v>1.296574025974026</v>
      </c>
      <c r="E11" s="8">
        <f t="shared" si="5"/>
        <v>0.7409822361546499</v>
      </c>
      <c r="F11" s="8">
        <f t="shared" si="5"/>
        <v>0.01407904761904762</v>
      </c>
      <c r="G11" s="8">
        <f t="shared" si="5"/>
        <v>1.523192316926771</v>
      </c>
      <c r="H11" s="8" t="e">
        <f t="shared" si="5"/>
        <v>#REF!</v>
      </c>
      <c r="I11" s="8" t="e">
        <f t="shared" si="5"/>
        <v>#REF!</v>
      </c>
      <c r="J11" s="8" t="e">
        <f t="shared" si="5"/>
        <v>#REF!</v>
      </c>
      <c r="K11" s="8" t="e">
        <f t="shared" si="5"/>
        <v>#REF!</v>
      </c>
      <c r="L11" s="8" t="e">
        <f t="shared" si="5"/>
        <v>#REF!</v>
      </c>
      <c r="M11" s="8" t="e">
        <f t="shared" si="5"/>
        <v>#REF!</v>
      </c>
      <c r="N11" s="8">
        <f t="shared" si="5"/>
        <v>0.9039163601562297</v>
      </c>
    </row>
    <row r="12" spans="2:3" ht="12.75">
      <c r="B12" s="8"/>
      <c r="C12" s="8"/>
    </row>
    <row r="13" ht="12.75">
      <c r="A13" s="4" t="s">
        <v>24</v>
      </c>
    </row>
    <row r="14" spans="1:14" s="5" customFormat="1" ht="12.75">
      <c r="A14" s="5" t="s">
        <v>25</v>
      </c>
      <c r="B14" s="5">
        <f>'[1]Attachment B'!E35</f>
        <v>8275.15</v>
      </c>
      <c r="C14" s="5">
        <f>'[1]Attachment B'!F35</f>
        <v>4314.07</v>
      </c>
      <c r="D14" s="5">
        <f>'[1]Attachment B'!G35</f>
        <v>5544.57</v>
      </c>
      <c r="E14" s="5">
        <f>'[1]Attachment B'!H35</f>
        <v>2905.32</v>
      </c>
      <c r="F14" s="5">
        <f>'[1]Attachment B'!I35</f>
        <v>5642.28</v>
      </c>
      <c r="G14" s="5">
        <f>'[1]Perfomance Details'!H13</f>
        <v>11251.45</v>
      </c>
      <c r="H14" s="5" t="e">
        <f>'[2]FInancial-Att.B'!I13</f>
        <v>#REF!</v>
      </c>
      <c r="I14" s="5" t="e">
        <f>'[2]FInancial-Att.B'!J13</f>
        <v>#REF!</v>
      </c>
      <c r="J14" s="5" t="e">
        <f>'[2]FInancial-Att.B'!K13</f>
        <v>#REF!</v>
      </c>
      <c r="K14" s="5" t="e">
        <f>'[2]FInancial-Att.B'!L13</f>
        <v>#REF!</v>
      </c>
      <c r="L14" s="5" t="e">
        <f>'[2]FInancial-Att.B'!M13</f>
        <v>#REF!</v>
      </c>
      <c r="M14" s="5" t="e">
        <f>'[2]FInancial-Att.B'!N13</f>
        <v>#REF!</v>
      </c>
      <c r="N14" s="5">
        <f>SUM(B14:G14)</f>
        <v>37932.84</v>
      </c>
    </row>
    <row r="15" spans="1:14" s="5" customFormat="1" ht="12.75">
      <c r="A15" s="6" t="s">
        <v>16</v>
      </c>
      <c r="B15" s="5">
        <v>75</v>
      </c>
      <c r="C15" s="5">
        <v>75</v>
      </c>
      <c r="D15" s="5">
        <v>75</v>
      </c>
      <c r="E15" s="5">
        <v>75</v>
      </c>
      <c r="F15" s="5">
        <v>75</v>
      </c>
      <c r="G15" s="5">
        <v>75</v>
      </c>
      <c r="H15" s="5">
        <v>75</v>
      </c>
      <c r="I15" s="5">
        <v>75</v>
      </c>
      <c r="J15" s="5">
        <v>75</v>
      </c>
      <c r="K15" s="5">
        <v>75</v>
      </c>
      <c r="L15" s="5">
        <v>75</v>
      </c>
      <c r="M15" s="5">
        <v>75</v>
      </c>
      <c r="N15" s="5">
        <v>75</v>
      </c>
    </row>
    <row r="16" spans="1:14" s="5" customFormat="1" ht="12.75">
      <c r="A16" s="5" t="s">
        <v>17</v>
      </c>
      <c r="B16" s="5">
        <f aca="true" t="shared" si="6" ref="B16:L16">B14/B15</f>
        <v>110.33533333333332</v>
      </c>
      <c r="C16" s="5">
        <f t="shared" si="6"/>
        <v>57.52093333333333</v>
      </c>
      <c r="D16" s="5">
        <f t="shared" si="6"/>
        <v>73.9276</v>
      </c>
      <c r="E16" s="5">
        <f t="shared" si="6"/>
        <v>38.7376</v>
      </c>
      <c r="F16" s="5">
        <f t="shared" si="6"/>
        <v>75.2304</v>
      </c>
      <c r="G16" s="5">
        <f t="shared" si="6"/>
        <v>150.01933333333335</v>
      </c>
      <c r="H16" s="5" t="e">
        <f t="shared" si="6"/>
        <v>#REF!</v>
      </c>
      <c r="I16" s="5" t="e">
        <f t="shared" si="6"/>
        <v>#REF!</v>
      </c>
      <c r="J16" s="5" t="e">
        <f t="shared" si="6"/>
        <v>#REF!</v>
      </c>
      <c r="K16" s="5" t="e">
        <f t="shared" si="6"/>
        <v>#REF!</v>
      </c>
      <c r="L16" s="5" t="e">
        <f t="shared" si="6"/>
        <v>#REF!</v>
      </c>
      <c r="N16" s="5">
        <f aca="true" t="shared" si="7" ref="N16:N21">SUM(B16:G16)</f>
        <v>505.77119999999996</v>
      </c>
    </row>
    <row r="17" spans="1:14" s="5" customFormat="1" ht="12.75">
      <c r="A17" s="5" t="s">
        <v>18</v>
      </c>
      <c r="B17" s="7">
        <v>176</v>
      </c>
      <c r="C17" s="7">
        <v>160</v>
      </c>
      <c r="D17" s="7">
        <v>184</v>
      </c>
      <c r="E17" s="7">
        <v>160</v>
      </c>
      <c r="F17" s="7">
        <v>184</v>
      </c>
      <c r="G17" s="7">
        <v>176</v>
      </c>
      <c r="H17" s="7">
        <f>G17</f>
        <v>176</v>
      </c>
      <c r="I17" s="7">
        <v>160</v>
      </c>
      <c r="J17" s="7">
        <v>176</v>
      </c>
      <c r="K17" s="7">
        <v>168</v>
      </c>
      <c r="L17" s="7">
        <v>176</v>
      </c>
      <c r="M17" s="7"/>
      <c r="N17" s="5">
        <f t="shared" si="7"/>
        <v>1040</v>
      </c>
    </row>
    <row r="18" spans="1:14" s="5" customFormat="1" ht="12.75">
      <c r="A18" s="5" t="s">
        <v>19</v>
      </c>
      <c r="B18" s="7">
        <f>2+8+8</f>
        <v>18</v>
      </c>
      <c r="C18" s="7">
        <v>8</v>
      </c>
      <c r="D18" s="7">
        <v>0</v>
      </c>
      <c r="E18" s="7">
        <v>48</v>
      </c>
      <c r="F18" s="7">
        <f>24+8</f>
        <v>32</v>
      </c>
      <c r="G18" s="7">
        <v>0</v>
      </c>
      <c r="H18" s="7">
        <f>64+8</f>
        <v>72</v>
      </c>
      <c r="I18" s="7">
        <v>24</v>
      </c>
      <c r="J18" s="7">
        <f>8+8</f>
        <v>16</v>
      </c>
      <c r="K18" s="7">
        <f>8+16</f>
        <v>24</v>
      </c>
      <c r="L18" s="7">
        <f>24+8</f>
        <v>32</v>
      </c>
      <c r="M18" s="7"/>
      <c r="N18" s="5">
        <f t="shared" si="7"/>
        <v>106</v>
      </c>
    </row>
    <row r="19" spans="1:14" s="5" customFormat="1" ht="12.75">
      <c r="A19" s="5" t="s">
        <v>20</v>
      </c>
      <c r="B19" s="5">
        <f aca="true" t="shared" si="8" ref="B19:M19">B17-B18</f>
        <v>158</v>
      </c>
      <c r="C19" s="5">
        <f t="shared" si="8"/>
        <v>152</v>
      </c>
      <c r="D19" s="5">
        <f t="shared" si="8"/>
        <v>184</v>
      </c>
      <c r="E19" s="5">
        <f t="shared" si="8"/>
        <v>112</v>
      </c>
      <c r="F19" s="5">
        <f t="shared" si="8"/>
        <v>152</v>
      </c>
      <c r="G19" s="5">
        <f t="shared" si="8"/>
        <v>176</v>
      </c>
      <c r="H19" s="5">
        <f t="shared" si="8"/>
        <v>104</v>
      </c>
      <c r="I19" s="5">
        <f t="shared" si="8"/>
        <v>136</v>
      </c>
      <c r="J19" s="5">
        <f t="shared" si="8"/>
        <v>160</v>
      </c>
      <c r="K19" s="5">
        <f t="shared" si="8"/>
        <v>144</v>
      </c>
      <c r="L19" s="5">
        <f t="shared" si="8"/>
        <v>144</v>
      </c>
      <c r="M19" s="5">
        <f t="shared" si="8"/>
        <v>0</v>
      </c>
      <c r="N19" s="5">
        <f t="shared" si="7"/>
        <v>934</v>
      </c>
    </row>
    <row r="20" spans="1:14" s="5" customFormat="1" ht="12.75">
      <c r="A20" s="5" t="s">
        <v>21</v>
      </c>
      <c r="B20" s="5">
        <f aca="true" t="shared" si="9" ref="B20:M20">B19/8</f>
        <v>19.75</v>
      </c>
      <c r="C20" s="5">
        <f t="shared" si="9"/>
        <v>19</v>
      </c>
      <c r="D20" s="5">
        <f t="shared" si="9"/>
        <v>23</v>
      </c>
      <c r="E20" s="5">
        <f t="shared" si="9"/>
        <v>14</v>
      </c>
      <c r="F20" s="5">
        <f t="shared" si="9"/>
        <v>19</v>
      </c>
      <c r="G20" s="5">
        <f t="shared" si="9"/>
        <v>22</v>
      </c>
      <c r="H20" s="5">
        <f t="shared" si="9"/>
        <v>13</v>
      </c>
      <c r="I20" s="5">
        <f t="shared" si="9"/>
        <v>17</v>
      </c>
      <c r="J20" s="5">
        <f t="shared" si="9"/>
        <v>20</v>
      </c>
      <c r="K20" s="5">
        <f t="shared" si="9"/>
        <v>18</v>
      </c>
      <c r="L20" s="5">
        <f t="shared" si="9"/>
        <v>18</v>
      </c>
      <c r="M20" s="5">
        <f t="shared" si="9"/>
        <v>0</v>
      </c>
      <c r="N20" s="5">
        <f t="shared" si="7"/>
        <v>116.75</v>
      </c>
    </row>
    <row r="21" spans="1:14" s="5" customFormat="1" ht="12.75">
      <c r="A21" s="5" t="s">
        <v>22</v>
      </c>
      <c r="B21" s="5">
        <f aca="true" t="shared" si="10" ref="B21:M21">B19-B20</f>
        <v>138.25</v>
      </c>
      <c r="C21" s="5">
        <f t="shared" si="10"/>
        <v>133</v>
      </c>
      <c r="D21" s="5">
        <f t="shared" si="10"/>
        <v>161</v>
      </c>
      <c r="E21" s="5">
        <f t="shared" si="10"/>
        <v>98</v>
      </c>
      <c r="F21" s="5">
        <f t="shared" si="10"/>
        <v>133</v>
      </c>
      <c r="G21" s="5">
        <f t="shared" si="10"/>
        <v>154</v>
      </c>
      <c r="H21" s="5">
        <f t="shared" si="10"/>
        <v>91</v>
      </c>
      <c r="I21" s="5">
        <f t="shared" si="10"/>
        <v>119</v>
      </c>
      <c r="J21" s="5">
        <f t="shared" si="10"/>
        <v>140</v>
      </c>
      <c r="K21" s="5">
        <f t="shared" si="10"/>
        <v>126</v>
      </c>
      <c r="L21" s="5">
        <f t="shared" si="10"/>
        <v>126</v>
      </c>
      <c r="M21" s="5">
        <f t="shared" si="10"/>
        <v>0</v>
      </c>
      <c r="N21" s="5">
        <f t="shared" si="7"/>
        <v>817.25</v>
      </c>
    </row>
    <row r="22" spans="1:14" ht="12.75">
      <c r="A22" t="s">
        <v>23</v>
      </c>
      <c r="B22" s="8">
        <f aca="true" t="shared" si="11" ref="B22:N22">B16/B21</f>
        <v>0.7980855937311633</v>
      </c>
      <c r="C22" s="8">
        <f t="shared" si="11"/>
        <v>0.4324882205513784</v>
      </c>
      <c r="D22" s="8">
        <f t="shared" si="11"/>
        <v>0.4591776397515528</v>
      </c>
      <c r="E22" s="8">
        <f t="shared" si="11"/>
        <v>0.3952816326530612</v>
      </c>
      <c r="F22" s="8">
        <f t="shared" si="11"/>
        <v>0.565642105263158</v>
      </c>
      <c r="G22" s="8">
        <f t="shared" si="11"/>
        <v>0.9741515151515152</v>
      </c>
      <c r="H22" s="8" t="e">
        <f t="shared" si="11"/>
        <v>#REF!</v>
      </c>
      <c r="I22" s="8" t="e">
        <f t="shared" si="11"/>
        <v>#REF!</v>
      </c>
      <c r="J22" s="8" t="e">
        <f t="shared" si="11"/>
        <v>#REF!</v>
      </c>
      <c r="K22" s="8" t="e">
        <f t="shared" si="11"/>
        <v>#REF!</v>
      </c>
      <c r="L22" s="8" t="e">
        <f t="shared" si="11"/>
        <v>#REF!</v>
      </c>
      <c r="M22" s="8" t="e">
        <f t="shared" si="11"/>
        <v>#DIV/0!</v>
      </c>
      <c r="N22" s="8">
        <f t="shared" si="11"/>
        <v>0.6188696237381461</v>
      </c>
    </row>
    <row r="24" ht="12.75">
      <c r="A24" s="4" t="s">
        <v>26</v>
      </c>
    </row>
    <row r="25" spans="1:14" s="5" customFormat="1" ht="12.75">
      <c r="A25" s="5" t="s">
        <v>27</v>
      </c>
      <c r="B25" s="5">
        <f>'[1]Attachment B'!E23</f>
        <v>26343.02</v>
      </c>
      <c r="C25" s="5">
        <f>'[1]Attachment B'!F23</f>
        <v>36171.56</v>
      </c>
      <c r="D25" s="5">
        <f>'[1]Attachment B'!G23</f>
        <v>2999.5</v>
      </c>
      <c r="E25" s="5">
        <f>'[1]Attachment B'!H23</f>
        <v>45959.64000000001</v>
      </c>
      <c r="F25" s="5">
        <f>'[1]Attachment B'!I23</f>
        <v>61218.21000000001</v>
      </c>
      <c r="G25" s="5">
        <f>'[1]Perfomance Details'!H11</f>
        <v>21169.92</v>
      </c>
      <c r="H25" s="5" t="e">
        <f>'[2]FInancial-Att.B'!I11</f>
        <v>#REF!</v>
      </c>
      <c r="I25" s="5" t="e">
        <f>'[2]FInancial-Att.B'!J11</f>
        <v>#REF!</v>
      </c>
      <c r="J25" s="5" t="e">
        <f>'[2]FInancial-Att.B'!K11</f>
        <v>#REF!</v>
      </c>
      <c r="K25" s="5" t="e">
        <f>'[2]FInancial-Att.B'!L11</f>
        <v>#REF!</v>
      </c>
      <c r="L25" s="5" t="e">
        <f>'[2]FInancial-Att.B'!M11</f>
        <v>#REF!</v>
      </c>
      <c r="M25" s="5" t="e">
        <f>'[2]FInancial-Att.B'!N11</f>
        <v>#REF!</v>
      </c>
      <c r="N25" s="5">
        <f>SUM(B25:G25)</f>
        <v>193861.84999999998</v>
      </c>
    </row>
    <row r="26" spans="1:14" s="5" customFormat="1" ht="12.75">
      <c r="A26" s="6" t="s">
        <v>16</v>
      </c>
      <c r="B26" s="5">
        <v>75</v>
      </c>
      <c r="C26" s="5">
        <v>75</v>
      </c>
      <c r="D26" s="5">
        <v>75</v>
      </c>
      <c r="E26" s="5">
        <v>75</v>
      </c>
      <c r="F26" s="5">
        <v>75</v>
      </c>
      <c r="G26" s="5">
        <v>75</v>
      </c>
      <c r="H26" s="5">
        <v>75</v>
      </c>
      <c r="I26" s="5">
        <v>75</v>
      </c>
      <c r="J26" s="5">
        <v>75</v>
      </c>
      <c r="K26" s="5">
        <v>75</v>
      </c>
      <c r="L26" s="5">
        <v>75</v>
      </c>
      <c r="M26" s="5">
        <v>75</v>
      </c>
      <c r="N26" s="5">
        <v>75</v>
      </c>
    </row>
    <row r="27" spans="1:14" s="5" customFormat="1" ht="12.75">
      <c r="A27" s="5" t="s">
        <v>17</v>
      </c>
      <c r="B27" s="5">
        <f aca="true" t="shared" si="12" ref="B27:M27">B25/B26</f>
        <v>351.2402666666667</v>
      </c>
      <c r="C27" s="5">
        <f t="shared" si="12"/>
        <v>482.28746666666666</v>
      </c>
      <c r="D27" s="5">
        <f t="shared" si="12"/>
        <v>39.99333333333333</v>
      </c>
      <c r="E27" s="5">
        <f t="shared" si="12"/>
        <v>612.7952000000001</v>
      </c>
      <c r="F27" s="5">
        <f t="shared" si="12"/>
        <v>816.2428000000001</v>
      </c>
      <c r="G27" s="5">
        <f t="shared" si="12"/>
        <v>282.26559999999995</v>
      </c>
      <c r="H27" s="5" t="e">
        <f t="shared" si="12"/>
        <v>#REF!</v>
      </c>
      <c r="I27" s="5" t="e">
        <f t="shared" si="12"/>
        <v>#REF!</v>
      </c>
      <c r="J27" s="5" t="e">
        <f t="shared" si="12"/>
        <v>#REF!</v>
      </c>
      <c r="K27" s="5" t="e">
        <f t="shared" si="12"/>
        <v>#REF!</v>
      </c>
      <c r="L27" s="5" t="e">
        <f t="shared" si="12"/>
        <v>#REF!</v>
      </c>
      <c r="M27" s="5" t="e">
        <f t="shared" si="12"/>
        <v>#REF!</v>
      </c>
      <c r="N27" s="5">
        <f aca="true" t="shared" si="13" ref="N27:N32">SUM(B27:G27)</f>
        <v>2584.8246666666664</v>
      </c>
    </row>
    <row r="28" spans="1:14" s="5" customFormat="1" ht="12.75">
      <c r="A28" s="5" t="s">
        <v>18</v>
      </c>
      <c r="B28" s="7">
        <f>176+176+176+176</f>
        <v>704</v>
      </c>
      <c r="C28" s="7">
        <v>640</v>
      </c>
      <c r="D28" s="7">
        <f>184*4</f>
        <v>736</v>
      </c>
      <c r="E28" s="7">
        <f>160*4+28.5</f>
        <v>668.5</v>
      </c>
      <c r="F28" s="7">
        <f>184*4</f>
        <v>736</v>
      </c>
      <c r="G28" s="7">
        <f>176+176+176+176+12</f>
        <v>716</v>
      </c>
      <c r="H28" s="7">
        <f>168+168+168+108.75</f>
        <v>612.75</v>
      </c>
      <c r="I28" s="7">
        <f>160+160+160+148.5+39.75</f>
        <v>668.25</v>
      </c>
      <c r="J28" s="7">
        <f>176+176+176+25+166.5</f>
        <v>719.5</v>
      </c>
      <c r="K28" s="7">
        <f>168+168+168+163.5</f>
        <v>667.5</v>
      </c>
      <c r="L28" s="7">
        <f>176*4</f>
        <v>704</v>
      </c>
      <c r="M28" s="7"/>
      <c r="N28" s="5">
        <f t="shared" si="13"/>
        <v>4200.5</v>
      </c>
    </row>
    <row r="29" spans="1:14" s="5" customFormat="1" ht="12.75">
      <c r="A29" s="5" t="s">
        <v>19</v>
      </c>
      <c r="B29" s="7">
        <f>16+24+48+16+16+16</f>
        <v>136</v>
      </c>
      <c r="C29" s="7">
        <f>76+64</f>
        <v>140</v>
      </c>
      <c r="D29" s="7">
        <f>145</f>
        <v>145</v>
      </c>
      <c r="E29" s="7">
        <f>8+12+2+48</f>
        <v>70</v>
      </c>
      <c r="F29" s="7">
        <f>85</f>
        <v>85</v>
      </c>
      <c r="G29" s="7">
        <v>92</v>
      </c>
      <c r="H29" s="7">
        <f>54+6+8+8+8+8+8+8+8</f>
        <v>116</v>
      </c>
      <c r="I29" s="7">
        <f>7+47+8</f>
        <v>62</v>
      </c>
      <c r="J29" s="7">
        <f>8+8+24+24+8+40+8</f>
        <v>120</v>
      </c>
      <c r="K29" s="7">
        <f>8+48+8+16+8+16+40</f>
        <v>144</v>
      </c>
      <c r="L29" s="7">
        <v>96</v>
      </c>
      <c r="M29" s="7"/>
      <c r="N29" s="5">
        <f t="shared" si="13"/>
        <v>668</v>
      </c>
    </row>
    <row r="30" spans="1:14" s="5" customFormat="1" ht="12.75">
      <c r="A30" s="5" t="s">
        <v>20</v>
      </c>
      <c r="B30" s="5">
        <f aca="true" t="shared" si="14" ref="B30:M30">B28-B29</f>
        <v>568</v>
      </c>
      <c r="C30" s="5">
        <f t="shared" si="14"/>
        <v>500</v>
      </c>
      <c r="D30" s="5">
        <f t="shared" si="14"/>
        <v>591</v>
      </c>
      <c r="E30" s="5">
        <f t="shared" si="14"/>
        <v>598.5</v>
      </c>
      <c r="F30" s="5">
        <f t="shared" si="14"/>
        <v>651</v>
      </c>
      <c r="G30" s="5">
        <f t="shared" si="14"/>
        <v>624</v>
      </c>
      <c r="H30" s="5">
        <f t="shared" si="14"/>
        <v>496.75</v>
      </c>
      <c r="I30" s="5">
        <f t="shared" si="14"/>
        <v>606.25</v>
      </c>
      <c r="J30" s="5">
        <f t="shared" si="14"/>
        <v>599.5</v>
      </c>
      <c r="K30" s="5">
        <f t="shared" si="14"/>
        <v>523.5</v>
      </c>
      <c r="L30" s="5">
        <f t="shared" si="14"/>
        <v>608</v>
      </c>
      <c r="M30" s="5">
        <f t="shared" si="14"/>
        <v>0</v>
      </c>
      <c r="N30" s="5">
        <f t="shared" si="13"/>
        <v>3532.5</v>
      </c>
    </row>
    <row r="31" spans="1:14" s="5" customFormat="1" ht="12.75">
      <c r="A31" s="5" t="s">
        <v>21</v>
      </c>
      <c r="B31" s="5">
        <f aca="true" t="shared" si="15" ref="B31:M31">B30/8</f>
        <v>71</v>
      </c>
      <c r="C31" s="5">
        <f t="shared" si="15"/>
        <v>62.5</v>
      </c>
      <c r="D31" s="5">
        <f t="shared" si="15"/>
        <v>73.875</v>
      </c>
      <c r="E31" s="5">
        <f t="shared" si="15"/>
        <v>74.8125</v>
      </c>
      <c r="F31" s="5">
        <f t="shared" si="15"/>
        <v>81.375</v>
      </c>
      <c r="G31" s="5">
        <f t="shared" si="15"/>
        <v>78</v>
      </c>
      <c r="H31" s="5">
        <f t="shared" si="15"/>
        <v>62.09375</v>
      </c>
      <c r="I31" s="5">
        <f t="shared" si="15"/>
        <v>75.78125</v>
      </c>
      <c r="J31" s="5">
        <f t="shared" si="15"/>
        <v>74.9375</v>
      </c>
      <c r="K31" s="5">
        <f t="shared" si="15"/>
        <v>65.4375</v>
      </c>
      <c r="L31" s="5">
        <f t="shared" si="15"/>
        <v>76</v>
      </c>
      <c r="M31" s="5">
        <f t="shared" si="15"/>
        <v>0</v>
      </c>
      <c r="N31" s="5">
        <f t="shared" si="13"/>
        <v>441.5625</v>
      </c>
    </row>
    <row r="32" spans="1:14" s="5" customFormat="1" ht="12.75">
      <c r="A32" s="5" t="s">
        <v>22</v>
      </c>
      <c r="B32" s="5">
        <f aca="true" t="shared" si="16" ref="B32:M32">B30-B31</f>
        <v>497</v>
      </c>
      <c r="C32" s="5">
        <f t="shared" si="16"/>
        <v>437.5</v>
      </c>
      <c r="D32" s="5">
        <f t="shared" si="16"/>
        <v>517.125</v>
      </c>
      <c r="E32" s="5">
        <f t="shared" si="16"/>
        <v>523.6875</v>
      </c>
      <c r="F32" s="5">
        <f t="shared" si="16"/>
        <v>569.625</v>
      </c>
      <c r="G32" s="5">
        <f t="shared" si="16"/>
        <v>546</v>
      </c>
      <c r="H32" s="5">
        <f t="shared" si="16"/>
        <v>434.65625</v>
      </c>
      <c r="I32" s="5">
        <f t="shared" si="16"/>
        <v>530.46875</v>
      </c>
      <c r="J32" s="5">
        <f t="shared" si="16"/>
        <v>524.5625</v>
      </c>
      <c r="K32" s="5">
        <f t="shared" si="16"/>
        <v>458.0625</v>
      </c>
      <c r="L32" s="5">
        <f t="shared" si="16"/>
        <v>532</v>
      </c>
      <c r="M32" s="5">
        <f t="shared" si="16"/>
        <v>0</v>
      </c>
      <c r="N32" s="5">
        <f t="shared" si="13"/>
        <v>3090.9375</v>
      </c>
    </row>
    <row r="33" spans="1:14" ht="12.75">
      <c r="A33" t="s">
        <v>23</v>
      </c>
      <c r="B33" s="8">
        <f aca="true" t="shared" si="17" ref="B33:N33">B27/B32</f>
        <v>0.7067208584842388</v>
      </c>
      <c r="C33" s="8">
        <f t="shared" si="17"/>
        <v>1.1023713523809524</v>
      </c>
      <c r="D33" s="8">
        <f t="shared" si="17"/>
        <v>0.07733784545967287</v>
      </c>
      <c r="E33" s="8">
        <f t="shared" si="17"/>
        <v>1.170154338226519</v>
      </c>
      <c r="F33" s="8">
        <f t="shared" si="17"/>
        <v>1.4329476409918809</v>
      </c>
      <c r="G33" s="8">
        <f t="shared" si="17"/>
        <v>0.5169699633699633</v>
      </c>
      <c r="H33" s="8" t="e">
        <f t="shared" si="17"/>
        <v>#REF!</v>
      </c>
      <c r="I33" s="8" t="e">
        <f t="shared" si="17"/>
        <v>#REF!</v>
      </c>
      <c r="J33" s="8" t="e">
        <f t="shared" si="17"/>
        <v>#REF!</v>
      </c>
      <c r="K33" s="8" t="e">
        <f t="shared" si="17"/>
        <v>#REF!</v>
      </c>
      <c r="L33" s="8" t="e">
        <f t="shared" si="17"/>
        <v>#REF!</v>
      </c>
      <c r="M33" s="8" t="e">
        <f t="shared" si="17"/>
        <v>#REF!</v>
      </c>
      <c r="N33" s="8">
        <f t="shared" si="17"/>
        <v>0.8362591177164425</v>
      </c>
    </row>
    <row r="36" ht="12.75">
      <c r="A36" s="4" t="s">
        <v>28</v>
      </c>
    </row>
    <row r="37" spans="1:3" ht="12.75">
      <c r="A37" t="s">
        <v>29</v>
      </c>
      <c r="B37" s="9">
        <v>2080</v>
      </c>
      <c r="C37"/>
    </row>
    <row r="38" spans="1:3" ht="12.75">
      <c r="A38" t="s">
        <v>30</v>
      </c>
      <c r="B38" s="9">
        <f>12*-8</f>
        <v>-96</v>
      </c>
      <c r="C38"/>
    </row>
    <row r="39" spans="1:3" ht="12.75">
      <c r="A39" t="s">
        <v>31</v>
      </c>
      <c r="B39" s="9">
        <f>20*-8</f>
        <v>-160</v>
      </c>
      <c r="C39"/>
    </row>
    <row r="40" spans="1:3" ht="12.75">
      <c r="A40" t="s">
        <v>32</v>
      </c>
      <c r="B40" s="9">
        <f>12*-8</f>
        <v>-96</v>
      </c>
      <c r="C40"/>
    </row>
    <row r="41" spans="2:3" ht="12.75">
      <c r="B41" s="9"/>
      <c r="C41"/>
    </row>
    <row r="42" spans="1:3" ht="12.75">
      <c r="A42" t="s">
        <v>33</v>
      </c>
      <c r="B42" s="9">
        <f>-(52*5-36)*0.5</f>
        <v>-112</v>
      </c>
      <c r="C42" t="s">
        <v>34</v>
      </c>
    </row>
    <row r="43" spans="1:3" ht="12.75">
      <c r="A43" t="s">
        <v>35</v>
      </c>
      <c r="B43" s="10">
        <f>-(52*5-36)*0.5</f>
        <v>-112</v>
      </c>
      <c r="C43" t="s">
        <v>34</v>
      </c>
    </row>
    <row r="44" spans="1:3" ht="12.75">
      <c r="A44" s="11" t="s">
        <v>22</v>
      </c>
      <c r="B44" s="9">
        <f>SUM(B37:B43)</f>
        <v>1504</v>
      </c>
      <c r="C44"/>
    </row>
    <row r="45" spans="1:3" ht="12.75">
      <c r="A45" s="11" t="s">
        <v>36</v>
      </c>
      <c r="B45" s="12">
        <v>0.85</v>
      </c>
      <c r="C45"/>
    </row>
    <row r="46" spans="1:3" ht="12.75">
      <c r="A46" s="11" t="s">
        <v>37</v>
      </c>
      <c r="B46">
        <f>B45*B44</f>
        <v>1278.3999999999999</v>
      </c>
      <c r="C46"/>
    </row>
    <row r="49" spans="2:9" ht="12.75">
      <c r="B49" s="13"/>
      <c r="C49" s="13"/>
      <c r="D49" s="13"/>
      <c r="E49" s="13"/>
      <c r="F49" s="13"/>
      <c r="G49" s="13"/>
      <c r="H49" s="13"/>
      <c r="I49" s="13"/>
    </row>
  </sheetData>
  <printOptions/>
  <pageMargins left="0.75" right="0.75" top="1" bottom="1" header="0.5" footer="0.5"/>
  <pageSetup horizontalDpi="600" verticalDpi="600" orientation="portrait" scale="77" r:id="rId3"/>
  <headerFooter alignWithMargins="0">
    <oddHeader>&amp;C&amp;"Arial,Bold"ITS Printing and Graphics Arts
1st Quarter Utilzation Ratio&amp;R&amp;"Arial,Bold"&amp;12ATTACHMENT   B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Mansfield, Janice</cp:lastModifiedBy>
  <cp:lastPrinted>2006-09-11T17:42:22Z</cp:lastPrinted>
  <dcterms:created xsi:type="dcterms:W3CDTF">2006-07-21T21:43:53Z</dcterms:created>
  <dcterms:modified xsi:type="dcterms:W3CDTF">2006-09-11T17:42:25Z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-810793342</vt:i4>
  </property>
  <property fmtid="{D5CDD505-2E9C-101B-9397-08002B2CF9AE}" pid="3" name="_EmailSubject">
    <vt:lpwstr>2006-0345 Printing and Graphic Arts Fund 2nd Qtr. Financial Report</vt:lpwstr>
  </property>
  <property fmtid="{D5CDD505-2E9C-101B-9397-08002B2CF9AE}" pid="4" name="_AuthorEmail">
    <vt:lpwstr>Susan.Neely@metrokc.gov</vt:lpwstr>
  </property>
  <property fmtid="{D5CDD505-2E9C-101B-9397-08002B2CF9AE}" pid="5" name="_AuthorEmailDisplayName">
    <vt:lpwstr>Neely, Susan</vt:lpwstr>
  </property>
  <property fmtid="{D5CDD505-2E9C-101B-9397-08002B2CF9AE}" pid="6" name="_ReviewingToolsShownOnce">
    <vt:lpwstr/>
  </property>
</Properties>
</file>