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0490" windowHeight="775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Cost Calc" sheetId="12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  <definedName name="_xlnm.Print_Area" localSheetId="3">'Cost Calc'!$A$1:$M$43</definedName>
  </definedNames>
  <calcPr calcId="162913"/>
  <extLst/>
</workbook>
</file>

<file path=xl/sharedStrings.xml><?xml version="1.0" encoding="utf-8"?>
<sst xmlns="http://schemas.openxmlformats.org/spreadsheetml/2006/main" count="713" uniqueCount="204">
  <si>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</si>
  <si>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</si>
  <si>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</si>
  <si>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</si>
  <si>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</si>
  <si>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</si>
  <si>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</si>
  <si>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</si>
  <si>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</si>
  <si>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</si>
  <si>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</si>
  <si>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</si>
  <si>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</si>
  <si>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</si>
  <si>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</si>
  <si>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</si>
  <si>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</si>
  <si>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</si>
  <si>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</si>
  <si>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</si>
  <si>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</si>
  <si>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</si>
  <si>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</si>
  <si>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</si>
  <si>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</si>
  <si>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</si>
  <si>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</si>
  <si>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</si>
  <si>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</si>
  <si>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</si>
  <si>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</si>
  <si>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</si>
  <si>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</si>
  <si>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</si>
  <si>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</si>
  <si>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</si>
  <si>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</si>
  <si>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</si>
  <si>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</si>
  <si>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</si>
  <si>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</si>
  <si>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</si>
  <si>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</si>
  <si>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</si>
  <si>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</si>
  <si>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</si>
  <si>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</si>
  <si>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</si>
  <si>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</si>
  <si>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</si>
  <si>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</si>
  <si>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</si>
  <si>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</si>
  <si>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</si>
  <si>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</si>
  <si>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</si>
  <si>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</si>
  <si>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</si>
  <si>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</si>
  <si>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</si>
  <si>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</si>
  <si>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</si>
  <si>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</si>
  <si>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</si>
  <si>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</si>
  <si>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</si>
  <si>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</si>
  <si>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</si>
  <si>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</si>
  <si>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</si>
  <si>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</si>
  <si>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</si>
  <si>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</si>
  <si>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</si>
  <si>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</si>
  <si>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</si>
  <si>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</si>
  <si>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</si>
  <si>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</si>
  <si>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</si>
  <si>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</si>
  <si>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</si>
  <si>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</si>
  <si>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</si>
  <si>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</si>
  <si>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</si>
  <si>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</si>
  <si>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</si>
  <si>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</si>
  <si>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</si>
  <si>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</si>
  <si>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</si>
  <si>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</si>
  <si>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</si>
  <si>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</si>
  <si>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</si>
  <si>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</si>
  <si>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</si>
  <si>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</si>
  <si>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</si>
  <si>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</si>
  <si>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</si>
  <si>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</si>
  <si>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</si>
  <si>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</si>
  <si>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</si>
  <si>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</si>
  <si>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</si>
  <si>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</si>
  <si>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</si>
  <si>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</si>
  <si>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</si>
  <si>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</si>
  <si>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</si>
  <si>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</si>
  <si>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</si>
  <si>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</si>
  <si>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</si>
  <si>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</si>
  <si>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</si>
  <si>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</si>
  <si>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</si>
  <si>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</si>
  <si>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</si>
  <si>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</si>
  <si>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</si>
  <si>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</si>
  <si>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</si>
  <si>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</si>
  <si>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</si>
  <si>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</si>
  <si>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</si>
  <si>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</si>
  <si>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</si>
  <si>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</si>
  <si>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</si>
  <si>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</si>
  <si>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</si>
  <si>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</si>
  <si>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</si>
  <si>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</si>
  <si>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</si>
  <si>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</si>
  <si>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</si>
  <si>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</si>
  <si>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</si>
  <si>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</si>
  <si>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</si>
  <si>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</si>
  <si>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</si>
  <si>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</si>
  <si>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</si>
  <si>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</si>
  <si>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</si>
  <si>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</si>
  <si>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</si>
  <si>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</si>
  <si>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Auburn Public Health Clinic Lease</t>
  </si>
  <si>
    <t>Auburn Public Health Lease</t>
  </si>
  <si>
    <t>Public Health</t>
  </si>
  <si>
    <t>Dept of Public Health</t>
  </si>
  <si>
    <t>Carolyn Mock / Stephen Cugier</t>
  </si>
  <si>
    <t>3/26/19</t>
  </si>
  <si>
    <t>A80000</t>
  </si>
  <si>
    <t>0900</t>
  </si>
  <si>
    <t>Lease Renewal</t>
  </si>
  <si>
    <t>- Base rent increases 3% annually, estimated operating costs based on 5% maximum annual increases.</t>
  </si>
  <si>
    <t>- Lease includes tenant improvement allowance of $60,000</t>
  </si>
  <si>
    <t>Stand Alone</t>
  </si>
  <si>
    <t>- New lease yields annual savings of $50,000 from previous lease rate.</t>
  </si>
  <si>
    <t>An NPV analysis was not performed because this is a renewal of an existing lease and was determined to be the best alternative to meet certain property and location requirements.</t>
  </si>
  <si>
    <t>Auburn Center - KCPH</t>
  </si>
  <si>
    <t>SF</t>
  </si>
  <si>
    <t>Cost/SF</t>
  </si>
  <si>
    <t>Est Opex</t>
  </si>
  <si>
    <t>Term</t>
  </si>
  <si>
    <t>5 years</t>
  </si>
  <si>
    <t>Est LCD</t>
  </si>
  <si>
    <t>Base Rent</t>
  </si>
  <si>
    <t>Months</t>
  </si>
  <si>
    <t>Monthly Rate</t>
  </si>
  <si>
    <t xml:space="preserve">         M 1 </t>
  </si>
  <si>
    <t>M 1 - 12</t>
  </si>
  <si>
    <t>M 13 - 24</t>
  </si>
  <si>
    <t>M 25 - 36</t>
  </si>
  <si>
    <t>M 37  -48</t>
  </si>
  <si>
    <t>M 49 - 60</t>
  </si>
  <si>
    <t>M 61  - 72</t>
  </si>
  <si>
    <t>M 73  - 84</t>
  </si>
  <si>
    <t>M 85  - 96</t>
  </si>
  <si>
    <t>M 97  - 108</t>
  </si>
  <si>
    <t>M 109 - 120</t>
  </si>
  <si>
    <t>Annual Base Rent Total</t>
  </si>
  <si>
    <t>OPEX Additional Rent</t>
  </si>
  <si>
    <t>Year</t>
  </si>
  <si>
    <t xml:space="preserve">Monthly Opex </t>
  </si>
  <si>
    <t>Note* KC Starts paying OPEX at Lease Commencment; reconciliations/estimates run on a calendar year; OPEX estimated to increase 5% annually</t>
  </si>
  <si>
    <t xml:space="preserve">Annual Total Base and OPEX </t>
  </si>
  <si>
    <t>Total Biennium Total Costs</t>
  </si>
  <si>
    <t xml:space="preserve">*Bienniums color coded by yellow/green </t>
  </si>
  <si>
    <t>Total Lease Cost</t>
  </si>
  <si>
    <t>Rent &amp; Operating Costs, est commencement 9/1/2019 - 8/31/2024</t>
  </si>
  <si>
    <t>Sid Bender</t>
  </si>
  <si>
    <t>- Rent and operating costs based on estimated lease commencement date of September 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</si>
</sst>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  <numFmt numFmtId="168" formatCode="[$-409]mmmm\ d\,\ yyyy;@"/>
    <numFmt numFmtId="169" formatCode="&quot;$&quot;#,##0.00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1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0" fontId="34" fillId="3" borderId="31" xfId="0" applyFont="1" applyFill="1" applyBorder="1" applyAlignment="1" applyProtection="1" quotePrefix="1">
      <alignment horizontal="left" vertical="top"/>
      <protection locked="0"/>
    </xf>
    <xf numFmtId="0" fontId="48" fillId="0" borderId="0" xfId="20" applyFont="1">
      <alignment/>
      <protection/>
    </xf>
    <xf numFmtId="0" fontId="1" fillId="0" borderId="0" xfId="20">
      <alignment/>
      <protection/>
    </xf>
    <xf numFmtId="164" fontId="0" fillId="0" borderId="0" xfId="21" applyNumberFormat="1" applyFont="1"/>
    <xf numFmtId="44" fontId="0" fillId="0" borderId="0" xfId="22" applyFont="1"/>
    <xf numFmtId="44" fontId="0" fillId="0" borderId="0" xfId="22" applyFont="1" applyAlignment="1">
      <alignment horizontal="right"/>
    </xf>
    <xf numFmtId="168" fontId="0" fillId="0" borderId="0" xfId="22" applyNumberFormat="1" applyFont="1"/>
    <xf numFmtId="0" fontId="48" fillId="0" borderId="54" xfId="20" applyFont="1" applyBorder="1" applyAlignment="1">
      <alignment horizontal="center" vertical="center"/>
      <protection/>
    </xf>
    <xf numFmtId="0" fontId="48" fillId="0" borderId="50" xfId="20" applyFont="1" applyBorder="1" applyAlignment="1">
      <alignment horizontal="center" vertical="center"/>
      <protection/>
    </xf>
    <xf numFmtId="0" fontId="48" fillId="6" borderId="29" xfId="20" applyFont="1" applyFill="1" applyBorder="1">
      <alignment/>
      <protection/>
    </xf>
    <xf numFmtId="0" fontId="48" fillId="7" borderId="29" xfId="20" applyFont="1" applyFill="1" applyBorder="1">
      <alignment/>
      <protection/>
    </xf>
    <xf numFmtId="0" fontId="48" fillId="6" borderId="40" xfId="20" applyFont="1" applyFill="1" applyBorder="1">
      <alignment/>
      <protection/>
    </xf>
    <xf numFmtId="0" fontId="48" fillId="7" borderId="40" xfId="20" applyFont="1" applyFill="1" applyBorder="1">
      <alignment/>
      <protection/>
    </xf>
    <xf numFmtId="0" fontId="1" fillId="0" borderId="55" xfId="20" applyNumberFormat="1" applyBorder="1" applyAlignment="1">
      <alignment horizontal="center" vertical="center"/>
      <protection/>
    </xf>
    <xf numFmtId="169" fontId="1" fillId="0" borderId="21" xfId="20" applyNumberFormat="1" applyBorder="1" applyAlignment="1">
      <alignment horizontal="center" vertical="center"/>
      <protection/>
    </xf>
    <xf numFmtId="167" fontId="1" fillId="0" borderId="0" xfId="20" applyNumberFormat="1" applyBorder="1" applyAlignment="1">
      <alignment vertical="center"/>
      <protection/>
    </xf>
    <xf numFmtId="167" fontId="1" fillId="0" borderId="24" xfId="20" applyNumberFormat="1" applyBorder="1" applyAlignment="1">
      <alignment vertical="center"/>
      <protection/>
    </xf>
    <xf numFmtId="167" fontId="1" fillId="0" borderId="49" xfId="20" applyNumberFormat="1" applyBorder="1" applyAlignment="1">
      <alignment vertical="center"/>
      <protection/>
    </xf>
    <xf numFmtId="167" fontId="1" fillId="0" borderId="56" xfId="20" applyNumberFormat="1" applyBorder="1" applyAlignment="1">
      <alignment vertical="center"/>
      <protection/>
    </xf>
    <xf numFmtId="0" fontId="48" fillId="0" borderId="57" xfId="20" applyNumberFormat="1" applyFont="1" applyBorder="1">
      <alignment/>
      <protection/>
    </xf>
    <xf numFmtId="0" fontId="1" fillId="0" borderId="29" xfId="20" applyBorder="1">
      <alignment/>
      <protection/>
    </xf>
    <xf numFmtId="167" fontId="1" fillId="0" borderId="29" xfId="20" applyNumberFormat="1" applyBorder="1">
      <alignment/>
      <protection/>
    </xf>
    <xf numFmtId="167" fontId="1" fillId="0" borderId="40" xfId="20" applyNumberFormat="1" applyBorder="1">
      <alignment/>
      <protection/>
    </xf>
    <xf numFmtId="0" fontId="1" fillId="0" borderId="0" xfId="20" applyNumberFormat="1" applyFill="1" applyBorder="1">
      <alignment/>
      <protection/>
    </xf>
    <xf numFmtId="0" fontId="48" fillId="0" borderId="0" xfId="20" applyNumberFormat="1" applyFont="1" applyBorder="1">
      <alignment/>
      <protection/>
    </xf>
    <xf numFmtId="0" fontId="1" fillId="0" borderId="0" xfId="20" applyBorder="1">
      <alignment/>
      <protection/>
    </xf>
    <xf numFmtId="169" fontId="1" fillId="0" borderId="0" xfId="20" applyNumberFormat="1" applyBorder="1">
      <alignment/>
      <protection/>
    </xf>
    <xf numFmtId="0" fontId="48" fillId="0" borderId="0" xfId="20" applyNumberFormat="1" applyFont="1" applyFill="1" applyBorder="1">
      <alignment/>
      <protection/>
    </xf>
    <xf numFmtId="0" fontId="1" fillId="0" borderId="54" xfId="20" applyBorder="1" applyAlignment="1">
      <alignment horizontal="center" vertical="center"/>
      <protection/>
    </xf>
    <xf numFmtId="0" fontId="1" fillId="0" borderId="50" xfId="20" applyBorder="1">
      <alignment/>
      <protection/>
    </xf>
    <xf numFmtId="167" fontId="1" fillId="0" borderId="21" xfId="20" applyNumberFormat="1" applyBorder="1" applyAlignment="1">
      <alignment horizontal="center" vertical="center"/>
      <protection/>
    </xf>
    <xf numFmtId="169" fontId="1" fillId="0" borderId="0" xfId="20" applyNumberFormat="1" applyBorder="1" applyAlignment="1">
      <alignment vertical="center"/>
      <protection/>
    </xf>
    <xf numFmtId="167" fontId="1" fillId="0" borderId="3" xfId="20" applyNumberFormat="1" applyBorder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58" xfId="20" applyBorder="1" applyAlignment="1">
      <alignment vertical="center"/>
      <protection/>
    </xf>
    <xf numFmtId="0" fontId="1" fillId="0" borderId="59" xfId="20" applyBorder="1" applyAlignment="1">
      <alignment vertical="center"/>
      <protection/>
    </xf>
    <xf numFmtId="0" fontId="48" fillId="0" borderId="16" xfId="20" applyFon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167" fontId="48" fillId="0" borderId="60" xfId="20" applyNumberFormat="1" applyFont="1" applyBorder="1" applyAlignment="1">
      <alignment vertical="center"/>
      <protection/>
    </xf>
    <xf numFmtId="167" fontId="48" fillId="0" borderId="61" xfId="20" applyNumberFormat="1" applyFont="1" applyBorder="1" applyAlignment="1">
      <alignment vertical="center"/>
      <protection/>
    </xf>
    <xf numFmtId="0" fontId="49" fillId="0" borderId="27" xfId="20" applyFont="1" applyBorder="1" applyAlignment="1">
      <alignment vertical="center"/>
      <protection/>
    </xf>
    <xf numFmtId="0" fontId="49" fillId="0" borderId="28" xfId="20" applyFont="1" applyBorder="1" applyAlignment="1">
      <alignment vertical="center"/>
      <protection/>
    </xf>
    <xf numFmtId="167" fontId="1" fillId="6" borderId="51" xfId="20" applyNumberFormat="1" applyFill="1" applyBorder="1" applyAlignment="1">
      <alignment vertical="center"/>
      <protection/>
    </xf>
    <xf numFmtId="167" fontId="1" fillId="7" borderId="51" xfId="20" applyNumberFormat="1" applyFill="1" applyBorder="1" applyAlignment="1">
      <alignment vertical="center"/>
      <protection/>
    </xf>
    <xf numFmtId="167" fontId="1" fillId="7" borderId="62" xfId="20" applyNumberFormat="1" applyFill="1" applyBorder="1" applyAlignment="1">
      <alignment vertical="center"/>
      <protection/>
    </xf>
    <xf numFmtId="0" fontId="50" fillId="0" borderId="0" xfId="20" applyFont="1" applyAlignment="1">
      <alignment vertical="center"/>
      <protection/>
    </xf>
    <xf numFmtId="0" fontId="49" fillId="0" borderId="31" xfId="20" applyFont="1" applyBorder="1" applyAlignment="1">
      <alignment vertical="center"/>
      <protection/>
    </xf>
    <xf numFmtId="0" fontId="51" fillId="0" borderId="30" xfId="20" applyFont="1" applyBorder="1" applyAlignment="1">
      <alignment vertical="center"/>
      <protection/>
    </xf>
    <xf numFmtId="0" fontId="1" fillId="0" borderId="30" xfId="20" applyBorder="1" applyAlignment="1">
      <alignment vertical="center"/>
      <protection/>
    </xf>
    <xf numFmtId="167" fontId="49" fillId="8" borderId="31" xfId="20" applyNumberFormat="1" applyFont="1" applyFill="1" applyBorder="1" applyAlignment="1">
      <alignment vertical="center"/>
      <protection/>
    </xf>
    <xf numFmtId="167" fontId="1" fillId="0" borderId="0" xfId="20" applyNumberFormat="1">
      <alignment/>
      <protection/>
    </xf>
    <xf numFmtId="14" fontId="22" fillId="0" borderId="0" xfId="0" applyNumberFormat="1" applyFont="1" applyFill="1" applyBorder="1" applyAlignment="1">
      <alignment horizontal="left"/>
    </xf>
    <xf numFmtId="0" fontId="33" fillId="0" borderId="49" xfId="0" applyFont="1" applyBorder="1" applyAlignment="1" applyProtection="1">
      <alignment horizontal="center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36" fillId="0" borderId="0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58" xfId="0" applyFont="1" applyBorder="1"/>
    <xf numFmtId="0" fontId="22" fillId="0" borderId="59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" fillId="9" borderId="64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15" fillId="9" borderId="64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65" xfId="16" applyNumberFormat="1" applyFont="1" applyBorder="1" applyAlignment="1">
      <alignment horizontal="center"/>
    </xf>
    <xf numFmtId="166" fontId="2" fillId="0" borderId="66" xfId="16" applyNumberFormat="1" applyFont="1" applyBorder="1" applyAlignment="1">
      <alignment horizontal="center"/>
    </xf>
    <xf numFmtId="166" fontId="2" fillId="0" borderId="8" xfId="16" applyNumberFormat="1" applyFont="1" applyBorder="1" applyAlignment="1">
      <alignment horizontal="center"/>
    </xf>
    <xf numFmtId="166" fontId="2" fillId="0" borderId="67" xfId="16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3" fontId="11" fillId="0" borderId="0" xfId="0" applyNumberFormat="1" applyFont="1" applyAlignment="1">
      <alignment vertical="top" wrapText="1"/>
    </xf>
    <xf numFmtId="166" fontId="3" fillId="0" borderId="53" xfId="16" applyNumberFormat="1" applyFont="1" applyBorder="1" applyAlignment="1">
      <alignment horizontal="center"/>
    </xf>
    <xf numFmtId="166" fontId="3" fillId="0" borderId="56" xfId="16" applyNumberFormat="1" applyFont="1" applyBorder="1" applyAlignment="1">
      <alignment horizontal="center"/>
    </xf>
    <xf numFmtId="0" fontId="22" fillId="0" borderId="65" xfId="0" applyFont="1" applyFill="1" applyBorder="1" applyAlignment="1">
      <alignment horizontal="left"/>
    </xf>
    <xf numFmtId="0" fontId="22" fillId="0" borderId="68" xfId="0" applyFont="1" applyFill="1" applyBorder="1" applyAlignment="1">
      <alignment horizontal="left"/>
    </xf>
    <xf numFmtId="0" fontId="22" fillId="0" borderId="69" xfId="0" applyFont="1" applyFill="1" applyBorder="1" applyAlignment="1">
      <alignment horizontal="left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70" xfId="0" applyFont="1" applyBorder="1" applyAlignment="1">
      <alignment horizontal="center" wrapText="1"/>
    </xf>
    <xf numFmtId="0" fontId="22" fillId="0" borderId="62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71" xfId="16" applyNumberFormat="1" applyFont="1" applyBorder="1"/>
    <xf numFmtId="166" fontId="3" fillId="0" borderId="1" xfId="16" applyNumberFormat="1" applyFont="1" applyBorder="1"/>
    <xf numFmtId="166" fontId="3" fillId="0" borderId="72" xfId="16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69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23" t="s">
        <v>60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07" t="s">
        <v>76</v>
      </c>
      <c r="E11" s="407"/>
      <c r="F11" s="408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01" t="s">
        <v>75</v>
      </c>
      <c r="E12" s="401"/>
      <c r="F12" s="402"/>
      <c r="G12" s="138" t="s">
        <v>160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01" t="s">
        <v>74</v>
      </c>
      <c r="E13" s="401"/>
      <c r="F13" s="402"/>
      <c r="G13" s="138" t="s">
        <v>165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17" t="s">
        <v>73</v>
      </c>
      <c r="E14" s="401"/>
      <c r="F14" s="402"/>
      <c r="G14" s="138" t="s">
        <v>168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01" t="s">
        <v>72</v>
      </c>
      <c r="E15" s="401"/>
      <c r="F15" s="402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01" t="s">
        <v>103</v>
      </c>
      <c r="E16" s="401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01" t="s">
        <v>69</v>
      </c>
      <c r="E17" s="401"/>
      <c r="F17" s="402"/>
      <c r="G17" s="141">
        <v>5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07" t="s">
        <v>70</v>
      </c>
      <c r="E18" s="407"/>
      <c r="F18" s="408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07" t="s">
        <v>139</v>
      </c>
      <c r="E19" s="407"/>
      <c r="F19" s="408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25" t="s">
        <v>34</v>
      </c>
      <c r="H20" s="425"/>
      <c r="I20" s="42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159</v>
      </c>
      <c r="H21" s="144"/>
      <c r="I21" s="145"/>
      <c r="J21" s="146" t="s">
        <v>163</v>
      </c>
      <c r="K21" s="335" t="s">
        <v>164</v>
      </c>
      <c r="L21" s="146">
        <v>1800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26" t="s">
        <v>125</v>
      </c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16" t="s">
        <v>144</v>
      </c>
      <c r="E39" s="416"/>
      <c r="F39" s="416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21" t="s">
        <v>77</v>
      </c>
      <c r="E40" s="421"/>
      <c r="F40" s="422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21" t="s">
        <v>78</v>
      </c>
      <c r="E41" s="421"/>
      <c r="F41" s="422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09" t="s">
        <v>170</v>
      </c>
      <c r="E43" s="410"/>
      <c r="F43" s="410"/>
      <c r="G43" s="410"/>
      <c r="H43" s="410"/>
      <c r="I43" s="411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12" t="s">
        <v>99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27" t="s">
        <v>20</v>
      </c>
      <c r="F57" s="427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03"/>
      <c r="F58" s="404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13" t="s">
        <v>84</v>
      </c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24"/>
      <c r="D69" s="424"/>
      <c r="E69" s="424"/>
      <c r="F69" s="42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21" t="s">
        <v>85</v>
      </c>
      <c r="F71" s="421"/>
      <c r="G71" s="421"/>
      <c r="H71" s="421"/>
      <c r="I71" s="421"/>
      <c r="J71" s="421"/>
      <c r="K71" s="421"/>
      <c r="L71" s="421"/>
      <c r="M71" s="421"/>
      <c r="N71" s="180"/>
      <c r="O71" s="211"/>
    </row>
    <row r="72" spans="2:15" ht="13.5" customHeight="1">
      <c r="B72" s="210"/>
      <c r="C72" s="268" t="s">
        <v>25</v>
      </c>
      <c r="D72" s="269"/>
      <c r="E72" s="405" t="s">
        <v>86</v>
      </c>
      <c r="F72" s="405"/>
      <c r="G72" s="405"/>
      <c r="H72" s="405"/>
      <c r="I72" s="405"/>
      <c r="J72" s="405"/>
      <c r="K72" s="405"/>
      <c r="L72" s="405"/>
      <c r="M72" s="405"/>
      <c r="N72" s="181"/>
      <c r="O72" s="211"/>
    </row>
    <row r="73" spans="2:15" ht="14.25">
      <c r="B73" s="210"/>
      <c r="C73" s="268" t="s">
        <v>53</v>
      </c>
      <c r="D73" s="269"/>
      <c r="E73" s="405" t="s">
        <v>87</v>
      </c>
      <c r="F73" s="406"/>
      <c r="G73" s="406"/>
      <c r="H73" s="406"/>
      <c r="I73" s="406"/>
      <c r="J73" s="406"/>
      <c r="K73" s="406"/>
      <c r="L73" s="406"/>
      <c r="M73" s="406"/>
      <c r="N73" s="179"/>
      <c r="O73" s="211"/>
    </row>
    <row r="74" spans="2:15" ht="14.25">
      <c r="B74" s="210"/>
      <c r="C74" s="415" t="s">
        <v>55</v>
      </c>
      <c r="D74" s="415"/>
      <c r="E74" s="405" t="s">
        <v>88</v>
      </c>
      <c r="F74" s="406"/>
      <c r="G74" s="406"/>
      <c r="H74" s="406"/>
      <c r="I74" s="406"/>
      <c r="J74" s="406"/>
      <c r="K74" s="406"/>
      <c r="L74" s="406"/>
      <c r="M74" s="406"/>
      <c r="N74" s="179"/>
      <c r="O74" s="211"/>
    </row>
    <row r="75" spans="2:15" ht="14.25" customHeight="1">
      <c r="B75" s="210"/>
      <c r="C75" s="419" t="s">
        <v>56</v>
      </c>
      <c r="D75" s="419"/>
      <c r="E75" s="405" t="s">
        <v>89</v>
      </c>
      <c r="F75" s="405"/>
      <c r="G75" s="405"/>
      <c r="H75" s="405"/>
      <c r="I75" s="405"/>
      <c r="J75" s="405"/>
      <c r="K75" s="405"/>
      <c r="L75" s="405"/>
      <c r="M75" s="405"/>
      <c r="N75" s="181"/>
      <c r="O75" s="211"/>
    </row>
    <row r="76" spans="2:15" ht="14.25">
      <c r="B76" s="210"/>
      <c r="C76" s="415" t="s">
        <v>57</v>
      </c>
      <c r="D76" s="415"/>
      <c r="E76" s="405"/>
      <c r="F76" s="406"/>
      <c r="G76" s="406"/>
      <c r="H76" s="406"/>
      <c r="I76" s="406"/>
      <c r="J76" s="406"/>
      <c r="K76" s="406"/>
      <c r="L76" s="406"/>
      <c r="M76" s="406"/>
      <c r="N76" s="179"/>
      <c r="O76" s="211"/>
    </row>
    <row r="77" spans="2:15" ht="15" customHeight="1">
      <c r="B77" s="210"/>
      <c r="C77" s="420" t="s">
        <v>26</v>
      </c>
      <c r="D77" s="420"/>
      <c r="E77" s="405" t="s">
        <v>90</v>
      </c>
      <c r="F77" s="406"/>
      <c r="G77" s="406"/>
      <c r="H77" s="406"/>
      <c r="I77" s="406"/>
      <c r="J77" s="406"/>
      <c r="K77" s="406"/>
      <c r="L77" s="406"/>
      <c r="M77" s="406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159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88" t="s">
        <v>40</v>
      </c>
      <c r="D81" s="388"/>
      <c r="E81" s="387" t="s">
        <v>22</v>
      </c>
      <c r="F81" s="387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201</v>
      </c>
      <c r="F84" s="154"/>
      <c r="G84" s="155">
        <v>82733</v>
      </c>
      <c r="H84" s="151">
        <v>238833</v>
      </c>
      <c r="I84" s="152">
        <v>247169</v>
      </c>
      <c r="J84" s="151">
        <v>255814</v>
      </c>
      <c r="K84" s="151">
        <v>264779</v>
      </c>
      <c r="L84" s="151">
        <v>163588</v>
      </c>
      <c r="M84" s="151"/>
      <c r="N84" s="193"/>
      <c r="O84" s="211"/>
    </row>
    <row r="85" spans="2:15" ht="14.25" customHeight="1" thickBot="1">
      <c r="B85" s="210"/>
      <c r="C85" s="391" t="s">
        <v>55</v>
      </c>
      <c r="D85" s="392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89" t="s">
        <v>56</v>
      </c>
      <c r="D86" s="39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91" t="s">
        <v>57</v>
      </c>
      <c r="D87" s="39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93" t="s">
        <v>26</v>
      </c>
      <c r="D88" s="39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88" t="s">
        <v>40</v>
      </c>
      <c r="D92" s="388"/>
      <c r="E92" s="387" t="s">
        <v>22</v>
      </c>
      <c r="F92" s="387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91" t="s">
        <v>55</v>
      </c>
      <c r="D96" s="39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89" t="s">
        <v>56</v>
      </c>
      <c r="D97" s="39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91" t="s">
        <v>57</v>
      </c>
      <c r="D98" s="39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93" t="s">
        <v>26</v>
      </c>
      <c r="D99" s="39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88" t="s">
        <v>40</v>
      </c>
      <c r="D103" s="388"/>
      <c r="E103" s="387" t="s">
        <v>22</v>
      </c>
      <c r="F103" s="387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91" t="s">
        <v>55</v>
      </c>
      <c r="D107" s="39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89" t="s">
        <v>56</v>
      </c>
      <c r="D108" s="39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91" t="s">
        <v>57</v>
      </c>
      <c r="D109" s="39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93" t="s">
        <v>26</v>
      </c>
      <c r="D110" s="39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88" t="s">
        <v>40</v>
      </c>
      <c r="D114" s="388"/>
      <c r="E114" s="387" t="s">
        <v>22</v>
      </c>
      <c r="F114" s="387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97" t="s">
        <v>55</v>
      </c>
      <c r="D118" s="39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95" t="s">
        <v>56</v>
      </c>
      <c r="D119" s="39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97" t="s">
        <v>57</v>
      </c>
      <c r="D120" s="39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99" t="s">
        <v>26</v>
      </c>
      <c r="D121" s="40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88" t="s">
        <v>40</v>
      </c>
      <c r="D125" s="388"/>
      <c r="E125" s="387" t="s">
        <v>22</v>
      </c>
      <c r="F125" s="387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97" t="s">
        <v>55</v>
      </c>
      <c r="D129" s="39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95" t="s">
        <v>56</v>
      </c>
      <c r="D130" s="39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97" t="s">
        <v>57</v>
      </c>
      <c r="D131" s="39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99" t="s">
        <v>26</v>
      </c>
      <c r="D132" s="40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88" t="s">
        <v>40</v>
      </c>
      <c r="D136" s="388"/>
      <c r="E136" s="387" t="s">
        <v>22</v>
      </c>
      <c r="F136" s="387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97" t="s">
        <v>55</v>
      </c>
      <c r="D140" s="39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95" t="s">
        <v>56</v>
      </c>
      <c r="D141" s="39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97" t="s">
        <v>57</v>
      </c>
      <c r="D142" s="39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99" t="s">
        <v>26</v>
      </c>
      <c r="D143" s="40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406" t="s">
        <v>100</v>
      </c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179"/>
      <c r="O148" s="224"/>
      <c r="P148" s="225"/>
      <c r="Q148" s="225"/>
    </row>
    <row r="149" spans="2:17" ht="12.75" customHeight="1">
      <c r="B149" s="210"/>
      <c r="C149" s="406" t="s">
        <v>132</v>
      </c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18" t="s">
        <v>18</v>
      </c>
      <c r="D155" s="418" t="s">
        <v>39</v>
      </c>
      <c r="E155" s="428" t="s">
        <v>23</v>
      </c>
      <c r="F155" s="428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87"/>
      <c r="D156" s="387"/>
      <c r="E156" s="429"/>
      <c r="F156" s="42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31" t="s">
        <v>149</v>
      </c>
      <c r="G171" s="432"/>
      <c r="H171" s="432"/>
      <c r="I171" s="432"/>
      <c r="J171" s="432"/>
      <c r="K171" s="432"/>
      <c r="L171" s="432"/>
      <c r="M171" s="432"/>
      <c r="N171" s="43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06" t="s">
        <v>155</v>
      </c>
      <c r="D173" s="406"/>
      <c r="E173" s="406"/>
      <c r="F173" s="406"/>
      <c r="G173" s="406"/>
      <c r="H173" s="406"/>
      <c r="I173" s="406"/>
      <c r="J173" s="406"/>
      <c r="K173" s="406"/>
      <c r="L173" s="406"/>
      <c r="M173" s="406"/>
      <c r="N173" s="179"/>
      <c r="O173" s="224"/>
    </row>
    <row r="174" spans="2:15" ht="34.5" customHeight="1" thickBot="1">
      <c r="B174" s="210"/>
      <c r="C174" s="434" t="s">
        <v>203</v>
      </c>
      <c r="D174" s="435"/>
      <c r="E174" s="435"/>
      <c r="F174" s="435"/>
      <c r="G174" s="435"/>
      <c r="H174" s="435"/>
      <c r="I174" s="435"/>
      <c r="J174" s="435"/>
      <c r="K174" s="435"/>
      <c r="L174" s="435"/>
      <c r="M174" s="435"/>
      <c r="N174" s="436"/>
      <c r="O174" s="224"/>
    </row>
    <row r="175" spans="2:15" ht="34.5" customHeight="1" thickBot="1">
      <c r="B175" s="210"/>
      <c r="C175" s="437" t="s">
        <v>166</v>
      </c>
      <c r="D175" s="438"/>
      <c r="E175" s="438"/>
      <c r="F175" s="438"/>
      <c r="G175" s="438"/>
      <c r="H175" s="438"/>
      <c r="I175" s="438"/>
      <c r="J175" s="438"/>
      <c r="K175" s="438"/>
      <c r="L175" s="438"/>
      <c r="M175" s="438"/>
      <c r="N175" s="439"/>
      <c r="O175" s="224"/>
    </row>
    <row r="176" spans="2:15" ht="34.5" customHeight="1" thickBot="1">
      <c r="B176" s="210"/>
      <c r="C176" s="437" t="s">
        <v>169</v>
      </c>
      <c r="D176" s="438"/>
      <c r="E176" s="438"/>
      <c r="F176" s="438"/>
      <c r="G176" s="438"/>
      <c r="H176" s="438"/>
      <c r="I176" s="438"/>
      <c r="J176" s="438"/>
      <c r="K176" s="438"/>
      <c r="L176" s="438"/>
      <c r="M176" s="438"/>
      <c r="N176" s="439"/>
      <c r="O176" s="224"/>
    </row>
    <row r="177" spans="2:15" ht="34.5" customHeight="1" thickBot="1">
      <c r="B177" s="210"/>
      <c r="C177" s="437" t="s">
        <v>167</v>
      </c>
      <c r="D177" s="438"/>
      <c r="E177" s="438"/>
      <c r="F177" s="438"/>
      <c r="G177" s="438"/>
      <c r="H177" s="438"/>
      <c r="I177" s="438"/>
      <c r="J177" s="438"/>
      <c r="K177" s="438"/>
      <c r="L177" s="438"/>
      <c r="M177" s="438"/>
      <c r="N177" s="439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406" t="s">
        <v>156</v>
      </c>
      <c r="D179" s="406"/>
      <c r="E179" s="406"/>
      <c r="F179" s="406"/>
      <c r="G179" s="406"/>
      <c r="H179" s="406"/>
      <c r="I179" s="406"/>
      <c r="J179" s="406"/>
      <c r="K179" s="406"/>
      <c r="L179" s="406"/>
      <c r="M179" s="406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30"/>
      <c r="D202" s="430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  <c r="Q202" s="430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T121" sqref="T12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5.140625" style="0" customWidth="1"/>
    <col min="20" max="20" width="18.7109375" style="0" customWidth="1"/>
  </cols>
  <sheetData>
    <row r="1" spans="1:20" ht="18.75">
      <c r="A1" s="468" t="s">
        <v>49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70" t="s">
        <v>31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1"/>
    </row>
    <row r="4" spans="1:20" ht="3" customHeight="1" thickBot="1" thickTop="1">
      <c r="A4" s="455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1"/>
    </row>
    <row r="5" spans="1:19" ht="13.5">
      <c r="A5" s="465" t="s">
        <v>7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4"/>
    </row>
    <row r="6" spans="1:20" ht="13.5">
      <c r="A6" s="461" t="s">
        <v>0</v>
      </c>
      <c r="B6" s="462"/>
      <c r="C6" s="460" t="str">
        <f>IF('2a.  Simple Form Data Entry'!G11="","   ",'2a.  Simple Form Data Entry'!G11)</f>
        <v>Auburn Public Health Lease</v>
      </c>
      <c r="D6" s="460"/>
      <c r="E6" s="460"/>
      <c r="F6" s="460"/>
      <c r="G6" s="460"/>
      <c r="H6" s="460"/>
      <c r="I6" s="460"/>
      <c r="J6" s="460"/>
      <c r="L6" s="293" t="s">
        <v>16</v>
      </c>
      <c r="M6" s="293"/>
      <c r="O6" s="72"/>
      <c r="Q6" s="72"/>
      <c r="R6" s="319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466" t="s">
        <v>152</v>
      </c>
      <c r="B7" s="457"/>
      <c r="C7" s="467" t="str">
        <f>IF('2a.  Simple Form Data Entry'!G12="","   ",'2a.  Simple Form Data Entry'!G12)</f>
        <v>Dept of Public Health</v>
      </c>
      <c r="D7" s="467"/>
      <c r="E7" s="467"/>
      <c r="F7" s="467"/>
      <c r="G7" s="467"/>
      <c r="H7" s="467"/>
      <c r="I7" s="467"/>
      <c r="J7" s="467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58" t="s">
        <v>2</v>
      </c>
      <c r="B8" s="459"/>
      <c r="C8" s="292" t="str">
        <f>IF('2a.  Simple Form Data Entry'!G15="","   ",'2a.  Simple Form Data Entry'!G15)</f>
        <v>Carolyn Mock / Stephen Cugier</v>
      </c>
      <c r="E8" s="292"/>
      <c r="F8" s="459" t="s">
        <v>8</v>
      </c>
      <c r="G8" s="459"/>
      <c r="H8" s="329" t="str">
        <f>IF('2a.  Simple Form Data Entry'!G15=""," ",'2a.  Simple Form Data Entry'!G16)</f>
        <v>3/26/19</v>
      </c>
      <c r="I8" s="292"/>
      <c r="J8" s="292"/>
      <c r="L8" s="457" t="s">
        <v>10</v>
      </c>
      <c r="M8" s="457"/>
      <c r="N8" s="457"/>
      <c r="O8" s="457"/>
      <c r="P8" s="74"/>
      <c r="Q8" s="74"/>
      <c r="R8" s="292" t="str">
        <f>IF('2a.  Simple Form Data Entry'!G13="","   ",'2a.  Simple Form Data Entry'!G13)</f>
        <v>Lease Renewal</v>
      </c>
      <c r="S8" s="328"/>
      <c r="T8" s="292"/>
      <c r="U8" s="292"/>
      <c r="V8" s="292"/>
      <c r="W8" s="292"/>
      <c r="X8" s="292"/>
    </row>
    <row r="9" spans="1:24" ht="13.5" customHeight="1">
      <c r="A9" s="458" t="s">
        <v>3</v>
      </c>
      <c r="B9" s="459"/>
      <c r="C9" s="295" t="s">
        <v>202</v>
      </c>
      <c r="D9" s="292"/>
      <c r="E9" s="292"/>
      <c r="F9" s="459" t="s">
        <v>13</v>
      </c>
      <c r="G9" s="459"/>
      <c r="H9" s="386">
        <v>43662</v>
      </c>
      <c r="I9" s="292"/>
      <c r="J9" s="292"/>
      <c r="L9" s="457" t="s">
        <v>9</v>
      </c>
      <c r="M9" s="457"/>
      <c r="N9" s="457"/>
      <c r="O9" s="457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504" t="str">
        <f>IF('2a.  Simple Form Data Entry'!G10=""," ",'2a.  Simple Form Data Entry'!G10)</f>
        <v>Auburn Public Health Clinic Lease</v>
      </c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5"/>
      <c r="T10" s="11"/>
    </row>
    <row r="11" spans="1:20" ht="13.5" thickBot="1">
      <c r="A11" s="332"/>
      <c r="B11" s="333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70" t="s">
        <v>14</v>
      </c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71" t="s">
        <v>32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75" t="s">
        <v>145</v>
      </c>
      <c r="B17" s="475"/>
      <c r="C17" s="475"/>
      <c r="D17" s="475"/>
      <c r="E17" s="472" t="str">
        <f>IF('2a.  Simple Form Data Entry'!G39="N","NA",'2a.  Simple Form Data Entry'!G40)</f>
        <v>NA</v>
      </c>
      <c r="F17" s="473"/>
      <c r="G17" s="474"/>
      <c r="H17" s="511" t="s">
        <v>153</v>
      </c>
      <c r="I17" s="512"/>
      <c r="J17" s="512"/>
      <c r="K17" s="512"/>
      <c r="L17" s="512"/>
      <c r="M17" s="512"/>
      <c r="N17" s="310"/>
      <c r="O17" s="508" t="str">
        <f>IF('2a.  Simple Form Data Entry'!G39="N","NA",'2a.  Simple Form Data Entry'!G41)</f>
        <v>NA</v>
      </c>
      <c r="P17" s="509"/>
      <c r="Q17" s="509"/>
      <c r="R17" s="509"/>
      <c r="S17" s="51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71" t="s">
        <v>33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97" t="str">
        <f>IF('2a.  Simple Form Data Entry'!E80="","   ",'2a.  Simple Form Data Entry'!E80)</f>
        <v>Public Health</v>
      </c>
      <c r="B35" s="498"/>
      <c r="C35" s="49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0900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1800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27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&amp; Operating Costs, est commencement 9/1/2019 - 8/31/2024</v>
      </c>
      <c r="I38" s="80">
        <f>'2a.  Simple Form Data Entry'!N84</f>
        <v>0</v>
      </c>
      <c r="J38" s="80">
        <f>'2a.  Simple Form Data Entry'!G84</f>
        <v>82733</v>
      </c>
      <c r="K38" s="80">
        <f>'2a.  Simple Form Data Entry'!H84</f>
        <v>238833</v>
      </c>
      <c r="L38" s="80">
        <f t="shared" si="7"/>
        <v>321566</v>
      </c>
      <c r="M38" s="80">
        <f>'2a.  Simple Form Data Entry'!I84</f>
        <v>247169</v>
      </c>
      <c r="N38" s="80">
        <f>'2a.  Simple Form Data Entry'!J84</f>
        <v>255814</v>
      </c>
      <c r="O38" s="80">
        <f t="shared" si="5"/>
        <v>502983</v>
      </c>
      <c r="P38" s="80">
        <f>'2a.  Simple Form Data Entry'!K84</f>
        <v>264779</v>
      </c>
      <c r="Q38" s="80">
        <f>'2a.  Simple Form Data Entry'!L84</f>
        <v>163588</v>
      </c>
      <c r="R38" s="80">
        <f t="shared" si="6"/>
        <v>428367</v>
      </c>
      <c r="S38" s="83">
        <f>'2a.  Simple Form Data Entry'!M84</f>
        <v>0</v>
      </c>
      <c r="T38" s="12"/>
    </row>
    <row r="39" spans="1:20" ht="13.5" customHeight="1">
      <c r="A39" s="16"/>
      <c r="B39" s="453" t="s">
        <v>55</v>
      </c>
      <c r="C39" s="454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40" t="s">
        <v>56</v>
      </c>
      <c r="C40" s="441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53" t="s">
        <v>57</v>
      </c>
      <c r="C41" s="454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42" t="s">
        <v>26</v>
      </c>
      <c r="C42" s="443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82733</v>
      </c>
      <c r="K43" s="63">
        <f t="shared" si="8"/>
        <v>238833</v>
      </c>
      <c r="L43" s="63">
        <f t="shared" si="7"/>
        <v>321566</v>
      </c>
      <c r="M43" s="63">
        <f t="shared" si="8"/>
        <v>247169</v>
      </c>
      <c r="N43" s="63">
        <f t="shared" si="8"/>
        <v>255814</v>
      </c>
      <c r="O43" s="63">
        <f t="shared" si="5"/>
        <v>502983</v>
      </c>
      <c r="P43" s="63">
        <f aca="true" t="shared" si="9" ref="P43:Q43">SUM(P36:P42)</f>
        <v>264779</v>
      </c>
      <c r="Q43" s="63">
        <f t="shared" si="9"/>
        <v>163588</v>
      </c>
      <c r="R43" s="63">
        <f t="shared" si="6"/>
        <v>428367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44" t="str">
        <f>IF('2a.  Simple Form Data Entry'!E91="","   ",'2a.  Simple Form Data Entry'!E91)</f>
        <v xml:space="preserve">   </v>
      </c>
      <c r="B45" s="445"/>
      <c r="C45" s="446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53" t="s">
        <v>55</v>
      </c>
      <c r="C49" s="454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40" t="s">
        <v>56</v>
      </c>
      <c r="C50" s="441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53" t="s">
        <v>57</v>
      </c>
      <c r="C51" s="454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42" t="s">
        <v>26</v>
      </c>
      <c r="C52" s="443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44" t="str">
        <f>IF('2a.  Simple Form Data Entry'!E102="","   ",'2a.  Simple Form Data Entry'!E102)</f>
        <v xml:space="preserve">   </v>
      </c>
      <c r="B55" s="445"/>
      <c r="C55" s="446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53" t="s">
        <v>55</v>
      </c>
      <c r="C59" s="454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40" t="s">
        <v>56</v>
      </c>
      <c r="C60" s="441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53" t="s">
        <v>57</v>
      </c>
      <c r="C61" s="454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42" t="s">
        <v>26</v>
      </c>
      <c r="C62" s="443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44" t="str">
        <f>IF('2a.  Simple Form Data Entry'!E113="","   ",'2a.  Simple Form Data Entry'!E113)</f>
        <v xml:space="preserve">   </v>
      </c>
      <c r="B65" s="445"/>
      <c r="C65" s="446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53" t="s">
        <v>55</v>
      </c>
      <c r="C69" s="454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40" t="s">
        <v>56</v>
      </c>
      <c r="C70" s="441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53" t="s">
        <v>57</v>
      </c>
      <c r="C71" s="454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42" t="s">
        <v>26</v>
      </c>
      <c r="C72" s="443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44" t="str">
        <f>IF('2a.  Simple Form Data Entry'!E124="","   ",'2a.  Simple Form Data Entry'!E124)</f>
        <v xml:space="preserve">   </v>
      </c>
      <c r="B75" s="445"/>
      <c r="C75" s="446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53" t="s">
        <v>55</v>
      </c>
      <c r="C79" s="454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40" t="s">
        <v>56</v>
      </c>
      <c r="C80" s="441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53" t="s">
        <v>57</v>
      </c>
      <c r="C81" s="454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42" t="s">
        <v>26</v>
      </c>
      <c r="C82" s="443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44" t="str">
        <f>IF('2a.  Simple Form Data Entry'!E135="","   ",'2a.  Simple Form Data Entry'!E135)</f>
        <v xml:space="preserve">   </v>
      </c>
      <c r="B85" s="445"/>
      <c r="C85" s="446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53" t="s">
        <v>55</v>
      </c>
      <c r="C89" s="454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40" t="s">
        <v>56</v>
      </c>
      <c r="C90" s="441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53" t="s">
        <v>57</v>
      </c>
      <c r="C91" s="454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42" t="s">
        <v>26</v>
      </c>
      <c r="C92" s="443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82733</v>
      </c>
      <c r="K95" s="56">
        <f t="shared" si="23"/>
        <v>238833</v>
      </c>
      <c r="L95" s="56">
        <f t="shared" si="10"/>
        <v>321566</v>
      </c>
      <c r="M95" s="56">
        <f t="shared" si="23"/>
        <v>247169</v>
      </c>
      <c r="N95" s="56">
        <f t="shared" si="23"/>
        <v>255814</v>
      </c>
      <c r="O95" s="56">
        <f t="shared" si="11"/>
        <v>502983</v>
      </c>
      <c r="P95" s="56">
        <f aca="true" t="shared" si="24" ref="P95:Q95">P73+P63+P53+P43+P83+P93</f>
        <v>264779</v>
      </c>
      <c r="Q95" s="56">
        <f t="shared" si="24"/>
        <v>163588</v>
      </c>
      <c r="R95" s="56">
        <f t="shared" si="12"/>
        <v>428367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69" t="s">
        <v>15</v>
      </c>
      <c r="B97" s="469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469"/>
      <c r="R97" s="469"/>
      <c r="S97" s="469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47" t="s">
        <v>18</v>
      </c>
      <c r="B101" s="448"/>
      <c r="C101" s="449"/>
      <c r="D101" s="478" t="s">
        <v>19</v>
      </c>
      <c r="E101" s="478" t="s">
        <v>5</v>
      </c>
      <c r="F101" s="500" t="s">
        <v>104</v>
      </c>
      <c r="G101" s="478" t="s">
        <v>11</v>
      </c>
      <c r="H101" s="491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502" t="str">
        <f>CONCATENATE(L24," Appropriation Change")</f>
        <v>2019 / 2020 Appropriation Change</v>
      </c>
      <c r="P101" s="42"/>
      <c r="Q101" s="314"/>
      <c r="R101" s="484" t="s">
        <v>137</v>
      </c>
      <c r="S101" s="485"/>
      <c r="T101" s="42"/>
    </row>
    <row r="102" spans="1:20" ht="27.75" customHeight="1" thickBot="1">
      <c r="A102" s="450"/>
      <c r="B102" s="451"/>
      <c r="C102" s="452"/>
      <c r="D102" s="479"/>
      <c r="E102" s="479"/>
      <c r="F102" s="501"/>
      <c r="G102" s="479"/>
      <c r="H102" s="492"/>
      <c r="I102" s="316"/>
      <c r="J102" s="191" t="s">
        <v>24</v>
      </c>
      <c r="K102" s="287" t="str">
        <f>'2a.  Simple Form Data Entry'!H156</f>
        <v>Allocation Change</v>
      </c>
      <c r="L102" s="503"/>
      <c r="P102" s="42"/>
      <c r="Q102" s="314"/>
      <c r="R102" s="486"/>
      <c r="S102" s="48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80">
        <f>'2a.  Simple Form Data Entry'!J157</f>
        <v>0</v>
      </c>
      <c r="S103" s="481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82">
        <f>'2a.  Simple Form Data Entry'!J158</f>
        <v>0</v>
      </c>
      <c r="S104" s="483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82">
        <f>'2a.  Simple Form Data Entry'!J159</f>
        <v>0</v>
      </c>
      <c r="S105" s="483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82">
        <f>'2a.  Simple Form Data Entry'!J160</f>
        <v>0</v>
      </c>
      <c r="S106" s="483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82">
        <f>'2a.  Simple Form Data Entry'!J161</f>
        <v>0</v>
      </c>
      <c r="S107" s="483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82">
        <f>'2a.  Simple Form Data Entry'!J162</f>
        <v>0</v>
      </c>
      <c r="S108" s="483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95">
        <f>SUM(R103:S107)</f>
        <v>0</v>
      </c>
      <c r="S109" s="49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93" t="str">
        <f>IF('2a.  Simple Form Data Entry'!G39="Y","See note 5 below.",'2a.  Simple Form Data Entry'!D43)</f>
        <v>An NPV analysis was not performed because this is a renewal of an existing lease and was determined to be the best alternative to meet certain property and location requirements.</v>
      </c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5"/>
    </row>
    <row r="113" spans="1:20" ht="13.5">
      <c r="A113" s="68" t="s">
        <v>112</v>
      </c>
      <c r="B113" s="488" t="s">
        <v>150</v>
      </c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5"/>
    </row>
    <row r="114" spans="1:20" ht="15" customHeight="1">
      <c r="A114" s="69" t="s">
        <v>52</v>
      </c>
      <c r="B114" s="489" t="s">
        <v>116</v>
      </c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5"/>
    </row>
    <row r="115" spans="1:20" ht="13.5">
      <c r="A115" s="69" t="s">
        <v>113</v>
      </c>
      <c r="B115" s="49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5"/>
    </row>
    <row r="116" spans="1:20" ht="13.5" customHeight="1">
      <c r="A116" s="67" t="s">
        <v>114</v>
      </c>
      <c r="B116" s="47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77"/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5"/>
    </row>
    <row r="117" spans="1:20" ht="16.5" customHeight="1">
      <c r="A117" s="67" t="s">
        <v>118</v>
      </c>
      <c r="B117" s="476" t="s">
        <v>111</v>
      </c>
      <c r="C117" s="476"/>
      <c r="D117" s="476"/>
      <c r="E117" s="476"/>
      <c r="F117" s="476"/>
      <c r="G117" s="476"/>
      <c r="H117" s="476"/>
      <c r="I117" s="476"/>
      <c r="J117" s="476"/>
      <c r="K117" s="476"/>
      <c r="L117" s="476"/>
      <c r="M117" s="476"/>
      <c r="N117" s="476"/>
      <c r="O117" s="476"/>
      <c r="P117" s="476"/>
      <c r="Q117" s="476"/>
      <c r="R117" s="476"/>
      <c r="S117" s="476"/>
      <c r="T117" s="5"/>
    </row>
    <row r="118" spans="1:19" ht="14.25" customHeight="1">
      <c r="A118" s="67"/>
      <c r="B118" s="494" t="str">
        <f>'2a.  Simple Form Data Entry'!C174</f>
        <v>- Rent and operating costs based on estimated lease commencement date of September 1, 2019.</v>
      </c>
      <c r="C118" s="494"/>
      <c r="D118" s="494"/>
      <c r="E118" s="494"/>
      <c r="F118" s="494"/>
      <c r="G118" s="494"/>
      <c r="H118" s="494"/>
      <c r="I118" s="494"/>
      <c r="J118" s="494"/>
      <c r="K118" s="494"/>
      <c r="L118" s="494"/>
      <c r="M118" s="494"/>
      <c r="N118" s="494"/>
      <c r="O118" s="494"/>
      <c r="P118" s="494"/>
      <c r="Q118" s="494"/>
      <c r="R118" s="494"/>
      <c r="S118" s="494"/>
    </row>
    <row r="119" spans="1:19" ht="13.5">
      <c r="A119" s="67"/>
      <c r="B119" s="494" t="str">
        <f>'2a.  Simple Form Data Entry'!C175</f>
        <v>- Base rent increases 3% annually, estimated operating costs based on 5% maximum annual increases.</v>
      </c>
      <c r="C119" s="494"/>
      <c r="D119" s="494"/>
      <c r="E119" s="494"/>
      <c r="F119" s="494"/>
      <c r="G119" s="494"/>
      <c r="H119" s="494"/>
      <c r="I119" s="494"/>
      <c r="J119" s="494"/>
      <c r="K119" s="494"/>
      <c r="L119" s="494"/>
      <c r="M119" s="494"/>
      <c r="N119" s="494"/>
      <c r="O119" s="494"/>
      <c r="P119" s="494"/>
      <c r="Q119" s="494"/>
      <c r="R119" s="494"/>
      <c r="S119" s="494"/>
    </row>
    <row r="120" spans="1:19" ht="12.75" customHeight="1">
      <c r="A120" s="67"/>
      <c r="B120" s="494" t="str">
        <f>'2a.  Simple Form Data Entry'!C176</f>
        <v>- New lease yields annual savings of $50,000 from previous lease rate.</v>
      </c>
      <c r="C120" s="494"/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</row>
    <row r="121" spans="1:19" ht="15" customHeight="1">
      <c r="A121" s="67"/>
      <c r="B121" s="494" t="str">
        <f>'2a.  Simple Form Data Entry'!C177</f>
        <v>- Lease includes tenant improvement allowance of $60,000</v>
      </c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</row>
    <row r="122" spans="1:20" ht="13.5">
      <c r="A122" s="67"/>
      <c r="B122" s="494"/>
      <c r="C122" s="494"/>
      <c r="D122" s="494"/>
      <c r="E122" s="494"/>
      <c r="F122" s="494"/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4"/>
      <c r="S122" s="494"/>
      <c r="T122" s="5"/>
    </row>
    <row r="123" spans="1:19" ht="13.5">
      <c r="A123" s="67"/>
      <c r="B123" s="494"/>
      <c r="C123" s="494"/>
      <c r="D123" s="494"/>
      <c r="E123" s="494"/>
      <c r="F123" s="494"/>
      <c r="G123" s="494"/>
      <c r="H123" s="494"/>
      <c r="I123" s="494"/>
      <c r="J123" s="494"/>
      <c r="K123" s="494"/>
      <c r="L123" s="494"/>
      <c r="M123" s="494"/>
      <c r="N123" s="494"/>
      <c r="O123" s="494"/>
      <c r="P123" s="494"/>
      <c r="Q123" s="494"/>
      <c r="R123" s="494"/>
      <c r="S123" s="494"/>
    </row>
    <row r="124" spans="1:19" ht="13.5">
      <c r="A124" t="str">
        <f>IF('2a.  Simple Form Data Entry'!C180=""," ","6.")</f>
        <v xml:space="preserve"> </v>
      </c>
      <c r="B124" s="494"/>
      <c r="C124" s="494"/>
      <c r="D124" s="494"/>
      <c r="E124" s="494"/>
      <c r="F124" s="494"/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  <c r="R124" s="494"/>
      <c r="S124" s="494"/>
    </row>
    <row r="125" spans="1:19" ht="13.5">
      <c r="A125" s="69"/>
      <c r="B125" s="494"/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</row>
    <row r="126" spans="1:19" ht="13.5">
      <c r="A126" s="69"/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2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 topLeftCell="A6">
      <selection activeCell="D27" sqref="D27"/>
    </sheetView>
  </sheetViews>
  <sheetFormatPr defaultColWidth="9.140625" defaultRowHeight="12.75"/>
  <cols>
    <col min="1" max="1" width="13.00390625" style="337" customWidth="1"/>
    <col min="2" max="2" width="18.7109375" style="337" customWidth="1"/>
    <col min="3" max="3" width="11.28125" style="337" customWidth="1"/>
    <col min="4" max="4" width="10.140625" style="337" customWidth="1"/>
    <col min="5" max="5" width="10.8515625" style="337" customWidth="1"/>
    <col min="6" max="6" width="10.28125" style="337" customWidth="1"/>
    <col min="7" max="7" width="11.421875" style="337" customWidth="1"/>
    <col min="8" max="8" width="10.421875" style="337" customWidth="1"/>
    <col min="9" max="9" width="13.57421875" style="337" customWidth="1"/>
    <col min="10" max="10" width="13.00390625" style="337" customWidth="1"/>
    <col min="11" max="12" width="12.57421875" style="337" customWidth="1"/>
    <col min="13" max="13" width="13.140625" style="337" customWidth="1"/>
    <col min="14" max="16384" width="9.140625" style="337" customWidth="1"/>
  </cols>
  <sheetData>
    <row r="1" ht="12.75">
      <c r="A1" s="336" t="s">
        <v>171</v>
      </c>
    </row>
    <row r="2" spans="1:2" ht="12.75">
      <c r="A2" s="336" t="s">
        <v>172</v>
      </c>
      <c r="B2" s="338">
        <v>8500</v>
      </c>
    </row>
    <row r="3" spans="1:2" ht="12.75">
      <c r="A3" s="336" t="s">
        <v>173</v>
      </c>
      <c r="B3" s="339">
        <v>21</v>
      </c>
    </row>
    <row r="4" spans="1:2" ht="12.75">
      <c r="A4" s="336" t="s">
        <v>174</v>
      </c>
      <c r="B4" s="339">
        <v>6.56</v>
      </c>
    </row>
    <row r="5" spans="1:2" ht="12.75">
      <c r="A5" s="336" t="s">
        <v>175</v>
      </c>
      <c r="B5" s="340" t="s">
        <v>176</v>
      </c>
    </row>
    <row r="6" spans="1:2" ht="12.75">
      <c r="A6" s="336" t="s">
        <v>177</v>
      </c>
      <c r="B6" s="341">
        <v>43617</v>
      </c>
    </row>
    <row r="8" ht="15.75" thickBot="1">
      <c r="A8" s="336" t="s">
        <v>178</v>
      </c>
    </row>
    <row r="9" spans="1:13" ht="15.75" thickBot="1">
      <c r="A9" s="342" t="s">
        <v>179</v>
      </c>
      <c r="B9" s="343" t="s">
        <v>180</v>
      </c>
      <c r="C9" s="344">
        <v>2019</v>
      </c>
      <c r="D9" s="344">
        <v>2020</v>
      </c>
      <c r="E9" s="345">
        <v>2021</v>
      </c>
      <c r="F9" s="345">
        <v>2022</v>
      </c>
      <c r="G9" s="344">
        <v>2023</v>
      </c>
      <c r="H9" s="344">
        <v>2024</v>
      </c>
      <c r="I9" s="345">
        <v>2025</v>
      </c>
      <c r="J9" s="345">
        <v>2026</v>
      </c>
      <c r="K9" s="344">
        <v>2027</v>
      </c>
      <c r="L9" s="346">
        <v>2028</v>
      </c>
      <c r="M9" s="347">
        <v>2029</v>
      </c>
    </row>
    <row r="10" spans="1:13" ht="12.75" hidden="1">
      <c r="A10" s="348" t="s">
        <v>181</v>
      </c>
      <c r="B10" s="349">
        <v>0</v>
      </c>
      <c r="C10" s="350">
        <v>0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 ht="12.75">
      <c r="A11" s="348" t="s">
        <v>182</v>
      </c>
      <c r="B11" s="349">
        <f>+B2*B3/12</f>
        <v>14875</v>
      </c>
      <c r="C11" s="350">
        <f>+B11*4</f>
        <v>59500</v>
      </c>
      <c r="D11" s="350">
        <f>B11*8</f>
        <v>119000</v>
      </c>
      <c r="E11" s="350"/>
      <c r="F11" s="350"/>
      <c r="G11" s="350"/>
      <c r="H11" s="350"/>
      <c r="I11" s="350"/>
      <c r="J11" s="350"/>
      <c r="K11" s="350"/>
      <c r="L11" s="350"/>
      <c r="M11" s="351"/>
    </row>
    <row r="12" spans="1:13" ht="12.75">
      <c r="A12" s="348" t="s">
        <v>183</v>
      </c>
      <c r="B12" s="349">
        <f>+B11*1.03</f>
        <v>15321.25</v>
      </c>
      <c r="C12" s="350"/>
      <c r="D12" s="350">
        <f>B12*4</f>
        <v>61285</v>
      </c>
      <c r="E12" s="350">
        <f>B12*8</f>
        <v>122570</v>
      </c>
      <c r="F12" s="350"/>
      <c r="G12" s="350"/>
      <c r="H12" s="350"/>
      <c r="I12" s="350"/>
      <c r="J12" s="350"/>
      <c r="K12" s="350"/>
      <c r="L12" s="350"/>
      <c r="M12" s="351"/>
    </row>
    <row r="13" spans="1:13" ht="12.75">
      <c r="A13" s="348" t="s">
        <v>184</v>
      </c>
      <c r="B13" s="349">
        <f aca="true" t="shared" si="0" ref="B13:B15">+B12*1.03</f>
        <v>15780.8875</v>
      </c>
      <c r="C13" s="350"/>
      <c r="D13" s="350"/>
      <c r="E13" s="350">
        <f>B13*4</f>
        <v>63123.55</v>
      </c>
      <c r="F13" s="350">
        <f>B13*8</f>
        <v>126247.1</v>
      </c>
      <c r="G13" s="350"/>
      <c r="H13" s="350"/>
      <c r="I13" s="350"/>
      <c r="J13" s="350"/>
      <c r="K13" s="350"/>
      <c r="L13" s="350"/>
      <c r="M13" s="351"/>
    </row>
    <row r="14" spans="1:13" ht="12.75">
      <c r="A14" s="348" t="s">
        <v>185</v>
      </c>
      <c r="B14" s="349">
        <f t="shared" si="0"/>
        <v>16254.314125</v>
      </c>
      <c r="C14" s="350"/>
      <c r="D14" s="350"/>
      <c r="E14" s="350"/>
      <c r="F14" s="350">
        <f>B14*4</f>
        <v>65017.2565</v>
      </c>
      <c r="G14" s="350">
        <f>B14*8</f>
        <v>130034.513</v>
      </c>
      <c r="H14" s="350"/>
      <c r="I14" s="350"/>
      <c r="J14" s="350"/>
      <c r="K14" s="350"/>
      <c r="L14" s="350"/>
      <c r="M14" s="351"/>
    </row>
    <row r="15" spans="1:13" ht="12.75">
      <c r="A15" s="348" t="s">
        <v>186</v>
      </c>
      <c r="B15" s="349">
        <f t="shared" si="0"/>
        <v>16741.94354875</v>
      </c>
      <c r="C15" s="350"/>
      <c r="D15" s="350"/>
      <c r="E15" s="350"/>
      <c r="F15" s="350"/>
      <c r="G15" s="350">
        <f>B15*4</f>
        <v>66967.774195</v>
      </c>
      <c r="H15" s="350">
        <f>B15*8</f>
        <v>133935.54839</v>
      </c>
      <c r="I15" s="350"/>
      <c r="J15" s="350"/>
      <c r="K15" s="350"/>
      <c r="L15" s="350"/>
      <c r="M15" s="351"/>
    </row>
    <row r="16" spans="1:13" ht="12.75">
      <c r="A16" s="348" t="s">
        <v>187</v>
      </c>
      <c r="B16" s="349"/>
      <c r="C16" s="350"/>
      <c r="D16" s="350"/>
      <c r="E16" s="350"/>
      <c r="F16" s="350"/>
      <c r="G16" s="350"/>
      <c r="H16" s="350">
        <f>B16*1</f>
        <v>0</v>
      </c>
      <c r="I16" s="350">
        <f>B16*11</f>
        <v>0</v>
      </c>
      <c r="J16" s="350"/>
      <c r="K16" s="350"/>
      <c r="L16" s="350"/>
      <c r="M16" s="351"/>
    </row>
    <row r="17" spans="1:13" ht="12.75">
      <c r="A17" s="348" t="s">
        <v>188</v>
      </c>
      <c r="B17" s="349"/>
      <c r="C17" s="350"/>
      <c r="D17" s="350"/>
      <c r="E17" s="350"/>
      <c r="F17" s="350"/>
      <c r="G17" s="350"/>
      <c r="H17" s="350"/>
      <c r="I17" s="350">
        <f>B17*1</f>
        <v>0</v>
      </c>
      <c r="J17" s="350">
        <f>B17*11</f>
        <v>0</v>
      </c>
      <c r="K17" s="350"/>
      <c r="L17" s="350"/>
      <c r="M17" s="351"/>
    </row>
    <row r="18" spans="1:13" ht="12.75">
      <c r="A18" s="348" t="s">
        <v>189</v>
      </c>
      <c r="B18" s="349"/>
      <c r="C18" s="350"/>
      <c r="D18" s="350"/>
      <c r="E18" s="350"/>
      <c r="F18" s="350"/>
      <c r="G18" s="350"/>
      <c r="H18" s="350"/>
      <c r="I18" s="350"/>
      <c r="J18" s="350">
        <f>B18*1</f>
        <v>0</v>
      </c>
      <c r="K18" s="350">
        <f>B18*11</f>
        <v>0</v>
      </c>
      <c r="L18" s="350"/>
      <c r="M18" s="351"/>
    </row>
    <row r="19" spans="1:13" ht="12.75">
      <c r="A19" s="348" t="s">
        <v>190</v>
      </c>
      <c r="B19" s="349"/>
      <c r="C19" s="350"/>
      <c r="D19" s="350"/>
      <c r="E19" s="350"/>
      <c r="F19" s="350"/>
      <c r="G19" s="350"/>
      <c r="H19" s="350"/>
      <c r="I19" s="350"/>
      <c r="J19" s="350"/>
      <c r="K19" s="350">
        <f>B19*1</f>
        <v>0</v>
      </c>
      <c r="L19" s="350">
        <f>B19*11</f>
        <v>0</v>
      </c>
      <c r="M19" s="351"/>
    </row>
    <row r="20" spans="1:13" ht="15.75" thickBot="1">
      <c r="A20" s="348" t="s">
        <v>191</v>
      </c>
      <c r="B20" s="349"/>
      <c r="C20" s="352"/>
      <c r="D20" s="352"/>
      <c r="E20" s="352"/>
      <c r="F20" s="352"/>
      <c r="G20" s="352"/>
      <c r="H20" s="352"/>
      <c r="I20" s="352"/>
      <c r="J20" s="352"/>
      <c r="K20" s="352"/>
      <c r="L20" s="352">
        <f>B20*1</f>
        <v>0</v>
      </c>
      <c r="M20" s="353">
        <f>B20*11</f>
        <v>0</v>
      </c>
    </row>
    <row r="21" spans="1:13" ht="15.75" thickBot="1">
      <c r="A21" s="354" t="s">
        <v>192</v>
      </c>
      <c r="B21" s="355"/>
      <c r="C21" s="356">
        <f aca="true" t="shared" si="1" ref="C21:M21">SUM(C10:C20)</f>
        <v>59500</v>
      </c>
      <c r="D21" s="356">
        <f t="shared" si="1"/>
        <v>180285</v>
      </c>
      <c r="E21" s="356">
        <f t="shared" si="1"/>
        <v>185693.55</v>
      </c>
      <c r="F21" s="356">
        <f t="shared" si="1"/>
        <v>191264.3565</v>
      </c>
      <c r="G21" s="356">
        <f t="shared" si="1"/>
        <v>197002.287195</v>
      </c>
      <c r="H21" s="356">
        <f t="shared" si="1"/>
        <v>133935.54839</v>
      </c>
      <c r="I21" s="356">
        <f t="shared" si="1"/>
        <v>0</v>
      </c>
      <c r="J21" s="356">
        <f t="shared" si="1"/>
        <v>0</v>
      </c>
      <c r="K21" s="356">
        <f t="shared" si="1"/>
        <v>0</v>
      </c>
      <c r="L21" s="356">
        <f t="shared" si="1"/>
        <v>0</v>
      </c>
      <c r="M21" s="357">
        <f t="shared" si="1"/>
        <v>0</v>
      </c>
    </row>
    <row r="22" ht="12.75">
      <c r="A22" s="358"/>
    </row>
    <row r="23" spans="1:13" ht="12.75">
      <c r="A23" s="359"/>
      <c r="B23" s="360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</row>
    <row r="24" ht="15.75" thickBot="1">
      <c r="A24" s="362" t="s">
        <v>193</v>
      </c>
    </row>
    <row r="25" spans="1:13" ht="15.75" thickBot="1">
      <c r="A25" s="363" t="s">
        <v>194</v>
      </c>
      <c r="B25" s="364" t="s">
        <v>195</v>
      </c>
      <c r="C25" s="344">
        <v>2019</v>
      </c>
      <c r="D25" s="344">
        <v>2020</v>
      </c>
      <c r="E25" s="345">
        <v>2021</v>
      </c>
      <c r="F25" s="345">
        <v>2022</v>
      </c>
      <c r="G25" s="344">
        <v>2023</v>
      </c>
      <c r="H25" s="344">
        <v>2024</v>
      </c>
      <c r="I25" s="345">
        <v>2025</v>
      </c>
      <c r="J25" s="345">
        <v>2026</v>
      </c>
      <c r="K25" s="344">
        <v>2027</v>
      </c>
      <c r="L25" s="346">
        <v>2028</v>
      </c>
      <c r="M25" s="347">
        <v>2029</v>
      </c>
    </row>
    <row r="26" spans="1:13" ht="12.75">
      <c r="A26" s="348">
        <v>2019</v>
      </c>
      <c r="B26" s="365">
        <f>+B2*B4/12</f>
        <v>4646.666666666667</v>
      </c>
      <c r="C26" s="350">
        <f>+B26*4</f>
        <v>18586.666666666668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1"/>
    </row>
    <row r="27" spans="1:13" ht="12.75">
      <c r="A27" s="348">
        <v>2020</v>
      </c>
      <c r="B27" s="365">
        <f aca="true" t="shared" si="2" ref="B27:B31">SUM(B26)*1.05</f>
        <v>4879.000000000001</v>
      </c>
      <c r="C27" s="350"/>
      <c r="D27" s="350">
        <f>B27*12</f>
        <v>58548.000000000015</v>
      </c>
      <c r="E27" s="350"/>
      <c r="F27" s="350"/>
      <c r="G27" s="350"/>
      <c r="H27" s="350"/>
      <c r="I27" s="350"/>
      <c r="J27" s="350"/>
      <c r="K27" s="350"/>
      <c r="L27" s="350"/>
      <c r="M27" s="351"/>
    </row>
    <row r="28" spans="1:13" ht="12.75">
      <c r="A28" s="348">
        <v>2021</v>
      </c>
      <c r="B28" s="365">
        <f t="shared" si="2"/>
        <v>5122.950000000001</v>
      </c>
      <c r="C28" s="350"/>
      <c r="D28" s="350"/>
      <c r="E28" s="350">
        <f>B28*12</f>
        <v>61475.40000000001</v>
      </c>
      <c r="F28" s="350"/>
      <c r="G28" s="350"/>
      <c r="H28" s="350"/>
      <c r="I28" s="350"/>
      <c r="J28" s="350"/>
      <c r="K28" s="350"/>
      <c r="L28" s="350"/>
      <c r="M28" s="351"/>
    </row>
    <row r="29" spans="1:13" ht="12.75">
      <c r="A29" s="348">
        <v>2022</v>
      </c>
      <c r="B29" s="365">
        <f t="shared" si="2"/>
        <v>5379.097500000001</v>
      </c>
      <c r="C29" s="350"/>
      <c r="D29" s="350"/>
      <c r="E29" s="350"/>
      <c r="F29" s="350">
        <f>B29*12</f>
        <v>64549.17000000001</v>
      </c>
      <c r="G29" s="350"/>
      <c r="H29" s="350"/>
      <c r="I29" s="350"/>
      <c r="J29" s="350"/>
      <c r="K29" s="350"/>
      <c r="L29" s="350"/>
      <c r="M29" s="351"/>
    </row>
    <row r="30" spans="1:13" ht="12.75">
      <c r="A30" s="348">
        <v>2023</v>
      </c>
      <c r="B30" s="365">
        <f t="shared" si="2"/>
        <v>5648.052375000001</v>
      </c>
      <c r="C30" s="350"/>
      <c r="D30" s="350"/>
      <c r="E30" s="350"/>
      <c r="F30" s="350"/>
      <c r="G30" s="350">
        <f>B30*12</f>
        <v>67776.62850000002</v>
      </c>
      <c r="H30" s="350"/>
      <c r="I30" s="350"/>
      <c r="J30" s="350"/>
      <c r="K30" s="350"/>
      <c r="L30" s="350"/>
      <c r="M30" s="351"/>
    </row>
    <row r="31" spans="1:13" ht="12.75">
      <c r="A31" s="348">
        <v>2024</v>
      </c>
      <c r="B31" s="365">
        <f t="shared" si="2"/>
        <v>5930.454993750001</v>
      </c>
      <c r="C31" s="350"/>
      <c r="D31" s="350"/>
      <c r="E31" s="350"/>
      <c r="F31" s="350"/>
      <c r="G31" s="350"/>
      <c r="H31" s="385">
        <f>+B31*5</f>
        <v>29652.274968750007</v>
      </c>
      <c r="I31" s="350"/>
      <c r="J31" s="350"/>
      <c r="K31" s="350"/>
      <c r="L31" s="350"/>
      <c r="M31" s="351"/>
    </row>
    <row r="32" spans="1:13" ht="12.75">
      <c r="A32" s="348">
        <v>2025</v>
      </c>
      <c r="B32" s="365"/>
      <c r="C32" s="350"/>
      <c r="D32" s="350"/>
      <c r="E32" s="350"/>
      <c r="F32" s="350"/>
      <c r="G32" s="350"/>
      <c r="H32" s="366"/>
      <c r="I32" s="350">
        <f>B32*12</f>
        <v>0</v>
      </c>
      <c r="J32" s="350"/>
      <c r="K32" s="350"/>
      <c r="L32" s="350"/>
      <c r="M32" s="351"/>
    </row>
    <row r="33" spans="1:13" ht="12.75">
      <c r="A33" s="348">
        <v>2026</v>
      </c>
      <c r="B33" s="365"/>
      <c r="C33" s="350"/>
      <c r="D33" s="350"/>
      <c r="E33" s="350"/>
      <c r="F33" s="350"/>
      <c r="G33" s="350"/>
      <c r="H33" s="350"/>
      <c r="I33" s="350"/>
      <c r="J33" s="350">
        <f>B33*12</f>
        <v>0</v>
      </c>
      <c r="K33" s="350"/>
      <c r="L33" s="350"/>
      <c r="M33" s="351"/>
    </row>
    <row r="34" spans="1:13" ht="12.75">
      <c r="A34" s="348">
        <v>2027</v>
      </c>
      <c r="B34" s="365"/>
      <c r="C34" s="350"/>
      <c r="D34" s="350"/>
      <c r="E34" s="350"/>
      <c r="F34" s="350"/>
      <c r="G34" s="350"/>
      <c r="H34" s="350"/>
      <c r="I34" s="350"/>
      <c r="J34" s="350"/>
      <c r="K34" s="350">
        <f>B34*12</f>
        <v>0</v>
      </c>
      <c r="L34" s="350"/>
      <c r="M34" s="351"/>
    </row>
    <row r="35" spans="1:13" ht="12.75">
      <c r="A35" s="348">
        <v>2028</v>
      </c>
      <c r="B35" s="365"/>
      <c r="C35" s="350"/>
      <c r="D35" s="350"/>
      <c r="E35" s="350"/>
      <c r="F35" s="350"/>
      <c r="G35" s="350"/>
      <c r="H35" s="350"/>
      <c r="I35" s="350"/>
      <c r="J35" s="350"/>
      <c r="K35" s="350"/>
      <c r="L35" s="366">
        <f>B35*12</f>
        <v>0</v>
      </c>
      <c r="M35" s="351"/>
    </row>
    <row r="36" spans="1:13" ht="15.75" thickBot="1">
      <c r="A36" s="348">
        <v>2029</v>
      </c>
      <c r="B36" s="367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3">
        <f>B36*11</f>
        <v>0</v>
      </c>
    </row>
    <row r="37" spans="1:13" ht="12.75">
      <c r="A37" s="368" t="s">
        <v>196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</row>
    <row r="38" spans="1:13" ht="15.75" thickBot="1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</row>
    <row r="39" spans="1:13" ht="15.75" thickBot="1">
      <c r="A39" s="369"/>
      <c r="B39" s="370"/>
      <c r="C39" s="344">
        <v>2019</v>
      </c>
      <c r="D39" s="344">
        <v>2020</v>
      </c>
      <c r="E39" s="345">
        <v>2021</v>
      </c>
      <c r="F39" s="345">
        <v>2022</v>
      </c>
      <c r="G39" s="344">
        <v>2023</v>
      </c>
      <c r="H39" s="344">
        <v>2024</v>
      </c>
      <c r="I39" s="345">
        <v>2025</v>
      </c>
      <c r="J39" s="345">
        <v>2026</v>
      </c>
      <c r="K39" s="344">
        <v>2027</v>
      </c>
      <c r="L39" s="346">
        <v>2028</v>
      </c>
      <c r="M39" s="347">
        <v>2029</v>
      </c>
    </row>
    <row r="40" spans="1:13" ht="24" customHeight="1" thickBot="1">
      <c r="A40" s="371" t="s">
        <v>197</v>
      </c>
      <c r="B40" s="372"/>
      <c r="C40" s="373">
        <f>SUM(C21+C26)</f>
        <v>78086.66666666667</v>
      </c>
      <c r="D40" s="373">
        <f>SUM(D21+D27)</f>
        <v>238833</v>
      </c>
      <c r="E40" s="373">
        <f>SUM(E21+E28)</f>
        <v>247168.95</v>
      </c>
      <c r="F40" s="373">
        <f>SUM(F21+F29)</f>
        <v>255813.5265</v>
      </c>
      <c r="G40" s="373">
        <f>SUM(G21+G30)</f>
        <v>264778.91569500003</v>
      </c>
      <c r="H40" s="373">
        <f>+H21+H31</f>
        <v>163587.82335875003</v>
      </c>
      <c r="I40" s="373">
        <f>SUM(I21+I32)</f>
        <v>0</v>
      </c>
      <c r="J40" s="373">
        <f>SUM(J21+J33)</f>
        <v>0</v>
      </c>
      <c r="K40" s="373">
        <f>SUM(K21+K34)</f>
        <v>0</v>
      </c>
      <c r="L40" s="373">
        <f>SUM(L21+L35)</f>
        <v>0</v>
      </c>
      <c r="M40" s="374">
        <f>SUM(M21+M36)</f>
        <v>0</v>
      </c>
    </row>
    <row r="41" spans="1:13" ht="18.75" thickBot="1" thickTop="1">
      <c r="A41" s="375" t="s">
        <v>198</v>
      </c>
      <c r="B41" s="376"/>
      <c r="C41" s="377"/>
      <c r="D41" s="377">
        <f>SUM(C40:D40)</f>
        <v>316919.6666666667</v>
      </c>
      <c r="E41" s="378"/>
      <c r="F41" s="378">
        <f>SUM(E40:F40)</f>
        <v>502982.4765</v>
      </c>
      <c r="G41" s="377"/>
      <c r="H41" s="377">
        <f>SUM(G40:H40)</f>
        <v>428366.73905375006</v>
      </c>
      <c r="I41" s="378"/>
      <c r="J41" s="378">
        <f>SUM(I40:J40)</f>
        <v>0</v>
      </c>
      <c r="K41" s="377"/>
      <c r="L41" s="377">
        <f>SUM(K40:L40)</f>
        <v>0</v>
      </c>
      <c r="M41" s="379"/>
    </row>
    <row r="42" spans="1:13" ht="15.75" thickBot="1">
      <c r="A42" s="380"/>
      <c r="B42" s="380"/>
      <c r="C42" s="380"/>
      <c r="D42" s="380"/>
      <c r="E42" s="380"/>
      <c r="F42" s="380"/>
      <c r="G42" s="368"/>
      <c r="H42" s="368"/>
      <c r="I42" s="368"/>
      <c r="J42" s="368"/>
      <c r="K42" s="368"/>
      <c r="L42" s="368"/>
      <c r="M42" s="368"/>
    </row>
    <row r="43" spans="1:13" ht="20.25" customHeight="1" thickBot="1">
      <c r="A43" s="368" t="s">
        <v>199</v>
      </c>
      <c r="B43" s="368"/>
      <c r="C43" s="368"/>
      <c r="D43" s="368"/>
      <c r="E43" s="368"/>
      <c r="F43" s="368"/>
      <c r="G43" s="368"/>
      <c r="H43" s="368"/>
      <c r="I43" s="368"/>
      <c r="J43" s="381" t="s">
        <v>200</v>
      </c>
      <c r="K43" s="382"/>
      <c r="L43" s="383"/>
      <c r="M43" s="384">
        <f>SUM(C41:M41)</f>
        <v>1248268.8822204168</v>
      </c>
    </row>
  </sheetData>
  <printOptions/>
  <pageMargins left="0.7" right="0.7" top="0.25" bottom="0.25" header="0.3" footer="0.3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23" t="s">
        <v>126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07" t="s">
        <v>76</v>
      </c>
      <c r="E11" s="407"/>
      <c r="F11" s="408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01" t="s">
        <v>75</v>
      </c>
      <c r="E12" s="401"/>
      <c r="F12" s="40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01" t="s">
        <v>74</v>
      </c>
      <c r="E13" s="401"/>
      <c r="F13" s="402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17" t="s">
        <v>73</v>
      </c>
      <c r="E14" s="401"/>
      <c r="F14" s="402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01" t="s">
        <v>72</v>
      </c>
      <c r="E15" s="401"/>
      <c r="F15" s="402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01" t="s">
        <v>103</v>
      </c>
      <c r="E16" s="401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01" t="s">
        <v>69</v>
      </c>
      <c r="E17" s="401"/>
      <c r="F17" s="402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07" t="s">
        <v>70</v>
      </c>
      <c r="E18" s="407"/>
      <c r="F18" s="408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07" t="s">
        <v>139</v>
      </c>
      <c r="E19" s="407"/>
      <c r="F19" s="408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25" t="s">
        <v>34</v>
      </c>
      <c r="H20" s="425"/>
      <c r="I20" s="42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26" t="s">
        <v>125</v>
      </c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16" t="s">
        <v>144</v>
      </c>
      <c r="E39" s="416"/>
      <c r="F39" s="416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21" t="s">
        <v>77</v>
      </c>
      <c r="E40" s="421"/>
      <c r="F40" s="422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21" t="s">
        <v>78</v>
      </c>
      <c r="E41" s="421"/>
      <c r="F41" s="422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09" t="s">
        <v>134</v>
      </c>
      <c r="E43" s="410"/>
      <c r="F43" s="410"/>
      <c r="G43" s="410"/>
      <c r="H43" s="410"/>
      <c r="I43" s="411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12" t="s">
        <v>99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27" t="s">
        <v>20</v>
      </c>
      <c r="F57" s="427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03"/>
      <c r="F58" s="404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13" t="s">
        <v>84</v>
      </c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24"/>
      <c r="D69" s="424"/>
      <c r="E69" s="424"/>
      <c r="F69" s="42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21" t="s">
        <v>85</v>
      </c>
      <c r="F71" s="421"/>
      <c r="G71" s="421"/>
      <c r="H71" s="421"/>
      <c r="I71" s="421"/>
      <c r="J71" s="421"/>
      <c r="K71" s="421"/>
      <c r="L71" s="421"/>
      <c r="M71" s="421"/>
      <c r="N71" s="180"/>
      <c r="O71" s="211"/>
    </row>
    <row r="72" spans="2:15" ht="13.5" customHeight="1">
      <c r="B72" s="210"/>
      <c r="C72" s="268" t="s">
        <v>25</v>
      </c>
      <c r="D72" s="269"/>
      <c r="E72" s="405" t="s">
        <v>86</v>
      </c>
      <c r="F72" s="405"/>
      <c r="G72" s="405"/>
      <c r="H72" s="405"/>
      <c r="I72" s="405"/>
      <c r="J72" s="405"/>
      <c r="K72" s="405"/>
      <c r="L72" s="405"/>
      <c r="M72" s="405"/>
      <c r="N72" s="181"/>
      <c r="O72" s="211"/>
    </row>
    <row r="73" spans="2:15" ht="14.25">
      <c r="B73" s="210"/>
      <c r="C73" s="268" t="s">
        <v>53</v>
      </c>
      <c r="D73" s="269"/>
      <c r="E73" s="405" t="s">
        <v>87</v>
      </c>
      <c r="F73" s="406"/>
      <c r="G73" s="406"/>
      <c r="H73" s="406"/>
      <c r="I73" s="406"/>
      <c r="J73" s="406"/>
      <c r="K73" s="406"/>
      <c r="L73" s="406"/>
      <c r="M73" s="406"/>
      <c r="N73" s="179"/>
      <c r="O73" s="211"/>
    </row>
    <row r="74" spans="2:15" ht="14.25">
      <c r="B74" s="210"/>
      <c r="C74" s="415" t="s">
        <v>55</v>
      </c>
      <c r="D74" s="415"/>
      <c r="E74" s="405" t="s">
        <v>88</v>
      </c>
      <c r="F74" s="406"/>
      <c r="G74" s="406"/>
      <c r="H74" s="406"/>
      <c r="I74" s="406"/>
      <c r="J74" s="406"/>
      <c r="K74" s="406"/>
      <c r="L74" s="406"/>
      <c r="M74" s="406"/>
      <c r="N74" s="179"/>
      <c r="O74" s="211"/>
    </row>
    <row r="75" spans="2:15" ht="14.25" customHeight="1">
      <c r="B75" s="210"/>
      <c r="C75" s="419" t="s">
        <v>56</v>
      </c>
      <c r="D75" s="419"/>
      <c r="E75" s="405" t="s">
        <v>89</v>
      </c>
      <c r="F75" s="405"/>
      <c r="G75" s="405"/>
      <c r="H75" s="405"/>
      <c r="I75" s="405"/>
      <c r="J75" s="405"/>
      <c r="K75" s="405"/>
      <c r="L75" s="405"/>
      <c r="M75" s="405"/>
      <c r="N75" s="181"/>
      <c r="O75" s="211"/>
    </row>
    <row r="76" spans="2:15" ht="14.25">
      <c r="B76" s="210"/>
      <c r="C76" s="415" t="s">
        <v>57</v>
      </c>
      <c r="D76" s="415"/>
      <c r="E76" s="405"/>
      <c r="F76" s="406"/>
      <c r="G76" s="406"/>
      <c r="H76" s="406"/>
      <c r="I76" s="406"/>
      <c r="J76" s="406"/>
      <c r="K76" s="406"/>
      <c r="L76" s="406"/>
      <c r="M76" s="406"/>
      <c r="N76" s="179"/>
      <c r="O76" s="211"/>
    </row>
    <row r="77" spans="2:15" ht="15" customHeight="1">
      <c r="B77" s="210"/>
      <c r="C77" s="420" t="s">
        <v>26</v>
      </c>
      <c r="D77" s="420"/>
      <c r="E77" s="405" t="s">
        <v>90</v>
      </c>
      <c r="F77" s="406"/>
      <c r="G77" s="406"/>
      <c r="H77" s="406"/>
      <c r="I77" s="406"/>
      <c r="J77" s="406"/>
      <c r="K77" s="406"/>
      <c r="L77" s="406"/>
      <c r="M77" s="406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88" t="s">
        <v>40</v>
      </c>
      <c r="D81" s="388"/>
      <c r="E81" s="387" t="s">
        <v>22</v>
      </c>
      <c r="F81" s="387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91" t="s">
        <v>55</v>
      </c>
      <c r="D85" s="392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89" t="s">
        <v>56</v>
      </c>
      <c r="D86" s="39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91" t="s">
        <v>57</v>
      </c>
      <c r="D87" s="39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93" t="s">
        <v>26</v>
      </c>
      <c r="D88" s="39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88" t="s">
        <v>40</v>
      </c>
      <c r="D92" s="388"/>
      <c r="E92" s="387" t="s">
        <v>22</v>
      </c>
      <c r="F92" s="387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91" t="s">
        <v>55</v>
      </c>
      <c r="D96" s="39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89" t="s">
        <v>56</v>
      </c>
      <c r="D97" s="39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91" t="s">
        <v>57</v>
      </c>
      <c r="D98" s="39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93" t="s">
        <v>26</v>
      </c>
      <c r="D99" s="39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88" t="s">
        <v>40</v>
      </c>
      <c r="D103" s="388"/>
      <c r="E103" s="387" t="s">
        <v>22</v>
      </c>
      <c r="F103" s="387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91" t="s">
        <v>55</v>
      </c>
      <c r="D107" s="39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89" t="s">
        <v>56</v>
      </c>
      <c r="D108" s="39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91" t="s">
        <v>57</v>
      </c>
      <c r="D109" s="39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93" t="s">
        <v>26</v>
      </c>
      <c r="D110" s="39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88" t="s">
        <v>40</v>
      </c>
      <c r="D114" s="388"/>
      <c r="E114" s="387" t="s">
        <v>22</v>
      </c>
      <c r="F114" s="387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97" t="s">
        <v>55</v>
      </c>
      <c r="D118" s="39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95" t="s">
        <v>56</v>
      </c>
      <c r="D119" s="39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97" t="s">
        <v>57</v>
      </c>
      <c r="D120" s="39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99" t="s">
        <v>26</v>
      </c>
      <c r="D121" s="40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88" t="s">
        <v>40</v>
      </c>
      <c r="D125" s="388"/>
      <c r="E125" s="387" t="s">
        <v>22</v>
      </c>
      <c r="F125" s="387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97" t="s">
        <v>55</v>
      </c>
      <c r="D129" s="39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95" t="s">
        <v>56</v>
      </c>
      <c r="D130" s="39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97" t="s">
        <v>57</v>
      </c>
      <c r="D131" s="39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99" t="s">
        <v>26</v>
      </c>
      <c r="D132" s="40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88" t="s">
        <v>40</v>
      </c>
      <c r="D136" s="388"/>
      <c r="E136" s="387" t="s">
        <v>22</v>
      </c>
      <c r="F136" s="387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97" t="s">
        <v>55</v>
      </c>
      <c r="D140" s="39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95" t="s">
        <v>56</v>
      </c>
      <c r="D141" s="39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97" t="s">
        <v>57</v>
      </c>
      <c r="D142" s="39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99" t="s">
        <v>26</v>
      </c>
      <c r="D143" s="40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406" t="s">
        <v>100</v>
      </c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179"/>
      <c r="O148" s="224"/>
      <c r="P148" s="225"/>
      <c r="Q148" s="225"/>
    </row>
    <row r="149" spans="2:17" ht="15" customHeight="1">
      <c r="B149" s="210"/>
      <c r="C149" s="406" t="s">
        <v>132</v>
      </c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18" t="s">
        <v>18</v>
      </c>
      <c r="D155" s="418" t="s">
        <v>39</v>
      </c>
      <c r="E155" s="428" t="s">
        <v>23</v>
      </c>
      <c r="F155" s="428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87"/>
      <c r="D156" s="387"/>
      <c r="E156" s="429"/>
      <c r="F156" s="42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31" t="s">
        <v>149</v>
      </c>
      <c r="G171" s="432"/>
      <c r="H171" s="432"/>
      <c r="I171" s="432"/>
      <c r="J171" s="432"/>
      <c r="K171" s="432"/>
      <c r="L171" s="432"/>
      <c r="M171" s="432"/>
      <c r="N171" s="43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06" t="s">
        <v>154</v>
      </c>
      <c r="D173" s="406"/>
      <c r="E173" s="406"/>
      <c r="F173" s="406"/>
      <c r="G173" s="406"/>
      <c r="H173" s="406"/>
      <c r="I173" s="406"/>
      <c r="J173" s="406"/>
      <c r="K173" s="406"/>
      <c r="L173" s="406"/>
      <c r="M173" s="406"/>
      <c r="N173" s="179"/>
      <c r="O173" s="224"/>
    </row>
    <row r="174" spans="2:15" ht="34.5" customHeight="1" thickBot="1">
      <c r="B174" s="210"/>
      <c r="C174" s="434" t="s">
        <v>141</v>
      </c>
      <c r="D174" s="435"/>
      <c r="E174" s="435"/>
      <c r="F174" s="435"/>
      <c r="G174" s="435"/>
      <c r="H174" s="435"/>
      <c r="I174" s="435"/>
      <c r="J174" s="435"/>
      <c r="K174" s="435"/>
      <c r="L174" s="435"/>
      <c r="M174" s="435"/>
      <c r="N174" s="436"/>
      <c r="O174" s="224"/>
    </row>
    <row r="175" spans="2:15" ht="34.5" customHeight="1" thickBot="1">
      <c r="B175" s="210"/>
      <c r="C175" s="437" t="s">
        <v>123</v>
      </c>
      <c r="D175" s="438"/>
      <c r="E175" s="438"/>
      <c r="F175" s="438"/>
      <c r="G175" s="438"/>
      <c r="H175" s="438"/>
      <c r="I175" s="438"/>
      <c r="J175" s="438"/>
      <c r="K175" s="438"/>
      <c r="L175" s="438"/>
      <c r="M175" s="438"/>
      <c r="N175" s="439"/>
      <c r="O175" s="224"/>
    </row>
    <row r="176" spans="2:15" ht="34.5" customHeight="1" thickBot="1">
      <c r="B176" s="210"/>
      <c r="C176" s="437" t="s">
        <v>123</v>
      </c>
      <c r="D176" s="438"/>
      <c r="E176" s="438"/>
      <c r="F176" s="438"/>
      <c r="G176" s="438"/>
      <c r="H176" s="438"/>
      <c r="I176" s="438"/>
      <c r="J176" s="438"/>
      <c r="K176" s="438"/>
      <c r="L176" s="438"/>
      <c r="M176" s="438"/>
      <c r="N176" s="439"/>
      <c r="O176" s="224"/>
    </row>
    <row r="177" spans="2:15" ht="34.5" customHeight="1" thickBot="1">
      <c r="B177" s="210"/>
      <c r="C177" s="437" t="s">
        <v>123</v>
      </c>
      <c r="D177" s="438"/>
      <c r="E177" s="438"/>
      <c r="F177" s="438"/>
      <c r="G177" s="438"/>
      <c r="H177" s="438"/>
      <c r="I177" s="438"/>
      <c r="J177" s="438"/>
      <c r="K177" s="438"/>
      <c r="L177" s="438"/>
      <c r="M177" s="438"/>
      <c r="N177" s="439"/>
      <c r="O177" s="224"/>
    </row>
    <row r="178" spans="2:15" ht="34.5" customHeight="1" thickBot="1">
      <c r="B178" s="210"/>
      <c r="C178" s="437" t="s">
        <v>123</v>
      </c>
      <c r="D178" s="438"/>
      <c r="E178" s="438"/>
      <c r="F178" s="438"/>
      <c r="G178" s="438"/>
      <c r="H178" s="438"/>
      <c r="I178" s="438"/>
      <c r="J178" s="438"/>
      <c r="K178" s="438"/>
      <c r="L178" s="438"/>
      <c r="M178" s="438"/>
      <c r="N178" s="439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406" t="s">
        <v>140</v>
      </c>
      <c r="D180" s="406"/>
      <c r="E180" s="406"/>
      <c r="F180" s="406"/>
      <c r="G180" s="406"/>
      <c r="H180" s="406"/>
      <c r="I180" s="406"/>
      <c r="J180" s="406"/>
      <c r="K180" s="406"/>
      <c r="L180" s="406"/>
      <c r="M180" s="406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430"/>
      <c r="D203" s="430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  <c r="Q203" s="430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68" t="s">
        <v>49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70" t="s">
        <v>31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1"/>
    </row>
    <row r="4" spans="1:20" ht="3" customHeight="1" thickBot="1" thickTop="1">
      <c r="A4" s="455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1"/>
    </row>
    <row r="5" spans="1:19" ht="13.5">
      <c r="A5" s="465" t="s">
        <v>7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4"/>
    </row>
    <row r="6" spans="1:20" ht="13.5">
      <c r="A6" s="461" t="s">
        <v>0</v>
      </c>
      <c r="B6" s="462"/>
      <c r="C6" s="460" t="str">
        <f>IF('2b.  Complex Form Data Entry'!G11="","   ",'2b.  Complex Form Data Entry'!G11)</f>
        <v xml:space="preserve">   </v>
      </c>
      <c r="D6" s="460"/>
      <c r="E6" s="460"/>
      <c r="F6" s="460"/>
      <c r="G6" s="460"/>
      <c r="H6" s="460"/>
      <c r="I6" s="460"/>
      <c r="J6" s="460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66" t="s">
        <v>152</v>
      </c>
      <c r="B7" s="457"/>
      <c r="C7" s="467" t="str">
        <f>IF('2b.  Complex Form Data Entry'!G12="","   ",'2b.  Complex Form Data Entry'!G12)</f>
        <v xml:space="preserve">   </v>
      </c>
      <c r="D7" s="467"/>
      <c r="E7" s="467"/>
      <c r="F7" s="467"/>
      <c r="G7" s="467"/>
      <c r="H7" s="467"/>
      <c r="I7" s="467"/>
      <c r="J7" s="467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58" t="s">
        <v>2</v>
      </c>
      <c r="B8" s="459"/>
      <c r="C8" s="292" t="str">
        <f>IF('2b.  Complex Form Data Entry'!G15="","   ",'2b.  Complex Form Data Entry'!G15)</f>
        <v xml:space="preserve">   </v>
      </c>
      <c r="E8" s="292"/>
      <c r="F8" s="459" t="s">
        <v>8</v>
      </c>
      <c r="G8" s="459"/>
      <c r="H8" s="329" t="str">
        <f>IF('2b.  Complex Form Data Entry'!G15=""," ",'2b.  Complex Form Data Entry'!G16)</f>
        <v xml:space="preserve"> </v>
      </c>
      <c r="I8" s="292"/>
      <c r="J8" s="292"/>
      <c r="L8" s="457" t="s">
        <v>10</v>
      </c>
      <c r="M8" s="457"/>
      <c r="N8" s="457"/>
      <c r="O8" s="457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58" t="s">
        <v>3</v>
      </c>
      <c r="B9" s="459"/>
      <c r="C9" s="295"/>
      <c r="D9" s="292"/>
      <c r="E9" s="292"/>
      <c r="F9" s="459" t="s">
        <v>13</v>
      </c>
      <c r="G9" s="459"/>
      <c r="H9" s="292"/>
      <c r="I9" s="292"/>
      <c r="J9" s="292"/>
      <c r="L9" s="457" t="s">
        <v>9</v>
      </c>
      <c r="M9" s="457"/>
      <c r="N9" s="457"/>
      <c r="O9" s="457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504" t="str">
        <f>IF('2b.  Complex Form Data Entry'!G10=""," ",'2b.  Complex Form Data Entry'!G10)</f>
        <v xml:space="preserve"> </v>
      </c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5"/>
      <c r="T10" s="11"/>
    </row>
    <row r="11" spans="1:20" ht="13.5" thickBot="1">
      <c r="A11" s="332"/>
      <c r="B11" s="333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70" t="s">
        <v>14</v>
      </c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71" t="s">
        <v>32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75" t="s">
        <v>145</v>
      </c>
      <c r="B17" s="475"/>
      <c r="C17" s="475"/>
      <c r="D17" s="475"/>
      <c r="E17" s="513" t="str">
        <f>IF('2b.  Complex Form Data Entry'!G39="N","NA",'2b.  Complex Form Data Entry'!G40)</f>
        <v>NA</v>
      </c>
      <c r="F17" s="514"/>
      <c r="G17" s="515"/>
      <c r="H17" s="511" t="s">
        <v>153</v>
      </c>
      <c r="I17" s="512"/>
      <c r="J17" s="512"/>
      <c r="K17" s="512"/>
      <c r="L17" s="512"/>
      <c r="M17" s="512"/>
      <c r="N17" s="310"/>
      <c r="O17" s="513" t="str">
        <f>IF('2b.  Complex Form Data Entry'!G39="N","NA",'2b.  Complex Form Data Entry'!G41)</f>
        <v>NA</v>
      </c>
      <c r="P17" s="514"/>
      <c r="Q17" s="514"/>
      <c r="R17" s="514"/>
      <c r="S17" s="51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71" t="s">
        <v>33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97" t="str">
        <f>IF('2b.  Complex Form Data Entry'!E80="","   ",'2b.  Complex Form Data Entry'!E80)</f>
        <v xml:space="preserve">   </v>
      </c>
      <c r="B35" s="498"/>
      <c r="C35" s="49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53" t="s">
        <v>55</v>
      </c>
      <c r="C39" s="454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40" t="s">
        <v>56</v>
      </c>
      <c r="C40" s="441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53" t="s">
        <v>57</v>
      </c>
      <c r="C41" s="454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42" t="s">
        <v>26</v>
      </c>
      <c r="C42" s="443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44" t="str">
        <f>IF('2b.  Complex Form Data Entry'!E91="","   ",'2b.  Complex Form Data Entry'!E91)</f>
        <v xml:space="preserve">   </v>
      </c>
      <c r="B45" s="445"/>
      <c r="C45" s="446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53" t="s">
        <v>55</v>
      </c>
      <c r="C49" s="454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40" t="s">
        <v>56</v>
      </c>
      <c r="C50" s="441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53" t="s">
        <v>57</v>
      </c>
      <c r="C51" s="45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42" t="s">
        <v>26</v>
      </c>
      <c r="C52" s="443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44" t="str">
        <f>IF('2b.  Complex Form Data Entry'!E102="","   ",'2b.  Complex Form Data Entry'!E102)</f>
        <v xml:space="preserve">   </v>
      </c>
      <c r="B55" s="445"/>
      <c r="C55" s="446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53" t="s">
        <v>55</v>
      </c>
      <c r="C59" s="454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40" t="s">
        <v>56</v>
      </c>
      <c r="C60" s="441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53" t="s">
        <v>57</v>
      </c>
      <c r="C61" s="45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42" t="s">
        <v>26</v>
      </c>
      <c r="C62" s="443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44" t="str">
        <f>IF('2b.  Complex Form Data Entry'!E113="","   ",'2b.  Complex Form Data Entry'!E113)</f>
        <v xml:space="preserve">   </v>
      </c>
      <c r="B65" s="445"/>
      <c r="C65" s="446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53" t="s">
        <v>55</v>
      </c>
      <c r="C69" s="454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40" t="s">
        <v>56</v>
      </c>
      <c r="C70" s="441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53" t="s">
        <v>57</v>
      </c>
      <c r="C71" s="454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42" t="s">
        <v>26</v>
      </c>
      <c r="C72" s="443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44" t="str">
        <f>IF('2b.  Complex Form Data Entry'!E124="","   ",'2b.  Complex Form Data Entry'!E124)</f>
        <v xml:space="preserve">   </v>
      </c>
      <c r="B75" s="445"/>
      <c r="C75" s="446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53" t="s">
        <v>55</v>
      </c>
      <c r="C79" s="454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40" t="s">
        <v>56</v>
      </c>
      <c r="C80" s="441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53" t="s">
        <v>57</v>
      </c>
      <c r="C81" s="45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42" t="s">
        <v>26</v>
      </c>
      <c r="C82" s="443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44" t="str">
        <f>IF('2b.  Complex Form Data Entry'!E135="","   ",'2b.  Complex Form Data Entry'!E135)</f>
        <v xml:space="preserve">   </v>
      </c>
      <c r="B85" s="445"/>
      <c r="C85" s="446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53" t="s">
        <v>55</v>
      </c>
      <c r="C89" s="454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40" t="s">
        <v>56</v>
      </c>
      <c r="C90" s="441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53" t="s">
        <v>57</v>
      </c>
      <c r="C91" s="45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42" t="s">
        <v>26</v>
      </c>
      <c r="C92" s="443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68" t="s">
        <v>133</v>
      </c>
      <c r="B97" s="468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  <c r="R97" s="468"/>
      <c r="S97" s="468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70" t="s">
        <v>31</v>
      </c>
      <c r="B99" s="470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1"/>
    </row>
    <row r="100" spans="1:20" ht="3" customHeight="1" thickBot="1" thickTop="1">
      <c r="A100" s="455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1"/>
    </row>
    <row r="101" spans="1:19" ht="13.5">
      <c r="A101" s="465" t="s">
        <v>7</v>
      </c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4"/>
    </row>
    <row r="102" spans="1:20" ht="13.5">
      <c r="A102" s="461" t="s">
        <v>0</v>
      </c>
      <c r="B102" s="462"/>
      <c r="C102" s="460" t="str">
        <f>IF('2b.  Complex Form Data Entry'!G11="","   ",'2b.  Complex Form Data Entry'!G11)</f>
        <v xml:space="preserve">   </v>
      </c>
      <c r="D102" s="460"/>
      <c r="E102" s="460"/>
      <c r="F102" s="460"/>
      <c r="G102" s="460"/>
      <c r="H102" s="460"/>
      <c r="I102" s="460"/>
      <c r="J102" s="460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66" t="s">
        <v>152</v>
      </c>
      <c r="B103" s="457"/>
      <c r="C103" s="467" t="str">
        <f>IF('2b.  Complex Form Data Entry'!G12="","   ",'2b.  Complex Form Data Entry'!G12)</f>
        <v xml:space="preserve">   </v>
      </c>
      <c r="D103" s="467"/>
      <c r="E103" s="467"/>
      <c r="F103" s="467"/>
      <c r="G103" s="467"/>
      <c r="H103" s="467"/>
      <c r="I103" s="467"/>
      <c r="J103" s="467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58" t="s">
        <v>2</v>
      </c>
      <c r="B104" s="459"/>
      <c r="C104" s="298" t="str">
        <f>IF('2b.  Complex Form Data Entry'!G15="","   ",'2b.  Complex Form Data Entry'!G15)</f>
        <v xml:space="preserve">   </v>
      </c>
      <c r="E104" s="298"/>
      <c r="F104" s="459" t="s">
        <v>8</v>
      </c>
      <c r="G104" s="459"/>
      <c r="H104" s="329" t="str">
        <f>IF('2b.  Complex Form Data Entry'!G15=""," ",'2b.  Complex Form Data Entry'!G16)</f>
        <v xml:space="preserve"> </v>
      </c>
      <c r="I104" s="298"/>
      <c r="J104" s="298"/>
      <c r="L104" s="457" t="s">
        <v>10</v>
      </c>
      <c r="M104" s="457"/>
      <c r="N104" s="457"/>
      <c r="O104" s="457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58" t="s">
        <v>3</v>
      </c>
      <c r="B105" s="459"/>
      <c r="C105" s="300"/>
      <c r="D105" s="298"/>
      <c r="E105" s="298"/>
      <c r="F105" s="459" t="s">
        <v>13</v>
      </c>
      <c r="G105" s="459"/>
      <c r="H105" s="298"/>
      <c r="I105" s="298"/>
      <c r="J105" s="298"/>
      <c r="L105" s="457" t="s">
        <v>9</v>
      </c>
      <c r="M105" s="457"/>
      <c r="N105" s="457"/>
      <c r="O105" s="457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504" t="str">
        <f>IF('2b.  Complex Form Data Entry'!G10=""," ",'2b.  Complex Form Data Entry'!G10)</f>
        <v xml:space="preserve"> </v>
      </c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5"/>
      <c r="T106" s="11"/>
    </row>
    <row r="107" spans="1:20" ht="13.5" thickBot="1">
      <c r="A107" s="332"/>
      <c r="B107" s="333"/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  <c r="R107" s="506"/>
      <c r="S107" s="507"/>
      <c r="T107" s="11"/>
    </row>
    <row r="108" spans="1:20" ht="18.75" customHeight="1" thickBot="1" thickTop="1">
      <c r="A108" s="469" t="s">
        <v>15</v>
      </c>
      <c r="B108" s="469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69"/>
      <c r="R108" s="469"/>
      <c r="S108" s="469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47" t="s">
        <v>18</v>
      </c>
      <c r="B112" s="448"/>
      <c r="C112" s="449"/>
      <c r="D112" s="478" t="s">
        <v>19</v>
      </c>
      <c r="E112" s="478" t="s">
        <v>5</v>
      </c>
      <c r="F112" s="500" t="s">
        <v>104</v>
      </c>
      <c r="G112" s="478" t="s">
        <v>11</v>
      </c>
      <c r="H112" s="491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502" t="str">
        <f>CONCATENATE(L34," Appropriation Change")</f>
        <v>2019 / 2020 Appropriation Change</v>
      </c>
      <c r="O112" s="303"/>
      <c r="P112" s="303"/>
      <c r="Q112" s="303"/>
      <c r="R112" s="484" t="s">
        <v>138</v>
      </c>
      <c r="S112" s="485"/>
      <c r="T112" s="42"/>
    </row>
    <row r="113" spans="1:20" ht="37.5" customHeight="1" thickBot="1">
      <c r="A113" s="450"/>
      <c r="B113" s="451"/>
      <c r="C113" s="452"/>
      <c r="D113" s="479"/>
      <c r="E113" s="479"/>
      <c r="F113" s="501"/>
      <c r="G113" s="479"/>
      <c r="H113" s="492"/>
      <c r="I113" s="316"/>
      <c r="J113" s="191" t="s">
        <v>24</v>
      </c>
      <c r="K113" s="287" t="str">
        <f>'2b.  Complex Form Data Entry'!H156</f>
        <v>Allocation Change</v>
      </c>
      <c r="L113" s="503"/>
      <c r="O113" s="303"/>
      <c r="P113" s="303"/>
      <c r="Q113" s="303"/>
      <c r="R113" s="486"/>
      <c r="S113" s="487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517">
        <f>'2b.  Complex Form Data Entry'!J157</f>
        <v>0</v>
      </c>
      <c r="S114" s="518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517">
        <f>'2b.  Complex Form Data Entry'!J158</f>
        <v>0</v>
      </c>
      <c r="S115" s="518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517">
        <f>'2b.  Complex Form Data Entry'!J159</f>
        <v>0</v>
      </c>
      <c r="S116" s="518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517">
        <f>'2b.  Complex Form Data Entry'!J160</f>
        <v>0</v>
      </c>
      <c r="S117" s="518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517">
        <f>'2b.  Complex Form Data Entry'!J161</f>
        <v>0</v>
      </c>
      <c r="S118" s="518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517">
        <f>'2b.  Complex Form Data Entry'!J162</f>
        <v>0</v>
      </c>
      <c r="S119" s="518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519">
        <f>SUM(R114:S119)</f>
        <v>0</v>
      </c>
      <c r="S120" s="520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93" t="str">
        <f>IF('2b.  Complex Form Data Entry'!G39="Y","See note 5 below.",'2b.  Complex Form Data Entry'!D43)</f>
        <v>An NPV analysis was not performed because …</v>
      </c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5"/>
    </row>
    <row r="124" spans="1:20" ht="13.5">
      <c r="A124" s="68" t="s">
        <v>112</v>
      </c>
      <c r="B124" s="488" t="s">
        <v>150</v>
      </c>
      <c r="C124" s="488"/>
      <c r="D124" s="488"/>
      <c r="E124" s="488"/>
      <c r="F124" s="48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5"/>
    </row>
    <row r="125" spans="1:20" ht="14.25" customHeight="1">
      <c r="A125" s="69" t="s">
        <v>52</v>
      </c>
      <c r="B125" s="516" t="s">
        <v>116</v>
      </c>
      <c r="C125" s="51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  <c r="N125" s="516"/>
      <c r="O125" s="516"/>
      <c r="P125" s="516"/>
      <c r="Q125" s="516"/>
      <c r="R125" s="516"/>
      <c r="S125" s="516"/>
      <c r="T125" s="5"/>
    </row>
    <row r="126" spans="1:20" ht="16.5" customHeight="1">
      <c r="A126" s="69" t="s">
        <v>113</v>
      </c>
      <c r="B126" s="490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5"/>
    </row>
    <row r="127" spans="1:20" ht="14.25" customHeight="1">
      <c r="A127" s="67" t="s">
        <v>114</v>
      </c>
      <c r="B127" s="47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77"/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477"/>
      <c r="P127" s="477"/>
      <c r="Q127" s="477"/>
      <c r="R127" s="477"/>
      <c r="S127" s="477"/>
      <c r="T127" s="5"/>
    </row>
    <row r="128" spans="1:20" ht="16.5" customHeight="1">
      <c r="A128" s="67" t="s">
        <v>118</v>
      </c>
      <c r="B128" s="476" t="s">
        <v>111</v>
      </c>
      <c r="C128" s="476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476"/>
      <c r="Q128" s="476"/>
      <c r="R128" s="476"/>
      <c r="S128" s="476"/>
      <c r="T128" s="5"/>
    </row>
    <row r="129" spans="1:19" ht="14.25" customHeight="1">
      <c r="A129" s="67"/>
      <c r="B129" s="494" t="str">
        <f>'2b.  Complex Form Data Entry'!C174</f>
        <v>-</v>
      </c>
      <c r="C129" s="494"/>
      <c r="D129" s="494"/>
      <c r="E129" s="494"/>
      <c r="F129" s="494"/>
      <c r="G129" s="494"/>
      <c r="H129" s="494"/>
      <c r="I129" s="494"/>
      <c r="J129" s="494"/>
      <c r="K129" s="494"/>
      <c r="L129" s="494"/>
      <c r="M129" s="494"/>
      <c r="N129" s="494"/>
      <c r="O129" s="494"/>
      <c r="P129" s="494"/>
      <c r="Q129" s="494"/>
      <c r="R129" s="494"/>
      <c r="S129" s="494"/>
    </row>
    <row r="130" spans="1:19" ht="13.5">
      <c r="A130" s="67"/>
      <c r="B130" s="494" t="str">
        <f>'2b.  Complex Form Data Entry'!C175</f>
        <v xml:space="preserve">- </v>
      </c>
      <c r="C130" s="494"/>
      <c r="D130" s="494"/>
      <c r="E130" s="494"/>
      <c r="F130" s="494"/>
      <c r="G130" s="494"/>
      <c r="H130" s="494"/>
      <c r="I130" s="494"/>
      <c r="J130" s="494"/>
      <c r="K130" s="494"/>
      <c r="L130" s="494"/>
      <c r="M130" s="494"/>
      <c r="N130" s="494"/>
      <c r="O130" s="494"/>
      <c r="P130" s="494"/>
      <c r="Q130" s="494"/>
      <c r="R130" s="494"/>
      <c r="S130" s="494"/>
    </row>
    <row r="131" spans="1:19" ht="12.75" customHeight="1">
      <c r="A131" s="67"/>
      <c r="B131" s="494" t="str">
        <f>'2b.  Complex Form Data Entry'!C176</f>
        <v xml:space="preserve">- </v>
      </c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</row>
    <row r="132" spans="1:19" ht="15" customHeight="1">
      <c r="A132" s="67"/>
      <c r="B132" s="494" t="str">
        <f>'2b.  Complex Form Data Entry'!C177</f>
        <v xml:space="preserve">- </v>
      </c>
      <c r="C132" s="494"/>
      <c r="D132" s="494"/>
      <c r="E132" s="494"/>
      <c r="F132" s="494"/>
      <c r="G132" s="494"/>
      <c r="H132" s="494"/>
      <c r="I132" s="494"/>
      <c r="J132" s="494"/>
      <c r="K132" s="494"/>
      <c r="L132" s="494"/>
      <c r="M132" s="494"/>
      <c r="N132" s="494"/>
      <c r="O132" s="494"/>
      <c r="P132" s="494"/>
      <c r="Q132" s="494"/>
      <c r="R132" s="494"/>
      <c r="S132" s="494"/>
    </row>
    <row r="133" spans="1:20" ht="13.5">
      <c r="A133" s="67"/>
      <c r="B133" s="494" t="str">
        <f>'2b.  Complex Form Data Entry'!C178</f>
        <v xml:space="preserve">- </v>
      </c>
      <c r="C133" s="494"/>
      <c r="D133" s="494"/>
      <c r="E133" s="494"/>
      <c r="F133" s="494"/>
      <c r="G133" s="494"/>
      <c r="H133" s="494"/>
      <c r="I133" s="494"/>
      <c r="J133" s="494"/>
      <c r="K133" s="494"/>
      <c r="L133" s="494"/>
      <c r="M133" s="494"/>
      <c r="N133" s="494"/>
      <c r="O133" s="494"/>
      <c r="P133" s="494"/>
      <c r="Q133" s="494"/>
      <c r="R133" s="494"/>
      <c r="S133" s="494"/>
      <c r="T133" s="5"/>
    </row>
    <row r="134" spans="1:19" ht="13.5">
      <c r="A134" s="67"/>
      <c r="B134" s="494"/>
      <c r="C134" s="494"/>
      <c r="D134" s="494"/>
      <c r="E134" s="494"/>
      <c r="F134" s="494"/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  <c r="R134" s="494"/>
      <c r="S134" s="494"/>
    </row>
    <row r="135" spans="1:19" ht="13.5">
      <c r="A135" t="str">
        <f>IF('2b.  Complex Form Data Entry'!C181=""," ","6.")</f>
        <v xml:space="preserve"> </v>
      </c>
      <c r="B135" s="494"/>
      <c r="C135" s="494"/>
      <c r="D135" s="494"/>
      <c r="E135" s="494"/>
      <c r="F135" s="494"/>
      <c r="G135" s="494"/>
      <c r="H135" s="494"/>
      <c r="I135" s="494"/>
      <c r="J135" s="494"/>
      <c r="K135" s="494"/>
      <c r="L135" s="494"/>
      <c r="M135" s="494"/>
      <c r="N135" s="494"/>
      <c r="O135" s="494"/>
      <c r="P135" s="494"/>
      <c r="Q135" s="494"/>
      <c r="R135" s="494"/>
      <c r="S135" s="494"/>
    </row>
    <row r="136" spans="1:19" ht="13.5">
      <c r="A136" s="69"/>
      <c r="B136" s="494"/>
      <c r="C136" s="494"/>
      <c r="D136" s="494"/>
      <c r="E136" s="494"/>
      <c r="F136" s="494"/>
      <c r="G136" s="494"/>
      <c r="H136" s="494"/>
      <c r="I136" s="494"/>
      <c r="J136" s="494"/>
      <c r="K136" s="494"/>
      <c r="L136" s="494"/>
      <c r="M136" s="494"/>
      <c r="N136" s="494"/>
      <c r="O136" s="494"/>
      <c r="P136" s="494"/>
      <c r="Q136" s="494"/>
      <c r="R136" s="494"/>
      <c r="S136" s="494"/>
    </row>
    <row r="137" spans="1:19" ht="13.5">
      <c r="A137" s="69"/>
      <c r="B137" s="494"/>
      <c r="C137" s="494"/>
      <c r="D137" s="494"/>
      <c r="E137" s="494"/>
      <c r="F137" s="494"/>
      <c r="G137" s="494"/>
      <c r="H137" s="494"/>
      <c r="I137" s="494"/>
      <c r="J137" s="494"/>
      <c r="K137" s="494"/>
      <c r="L137" s="494"/>
      <c r="M137" s="494"/>
      <c r="N137" s="494"/>
      <c r="O137" s="494"/>
      <c r="P137" s="494"/>
      <c r="Q137" s="494"/>
      <c r="R137" s="494"/>
      <c r="S137" s="494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cc811197-5a73-4d86-a206-c117da05ddaa"/>
    <ds:schemaRef ds:uri="http://schemas.microsoft.com/sharepoint/v3"/>
    <ds:schemaRef ds:uri="http://purl.org/dc/terms/"/>
    <ds:schemaRef ds:uri="3b43700d-34ac-408a-a726-6f038be6893b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08dc21f-8940-46b7-9ee9-f86b439897b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D35D8C-785F-4675-8771-245BF9893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Horner, Elka</cp:lastModifiedBy>
  <cp:lastPrinted>2019-07-16T23:38:04Z</cp:lastPrinted>
  <dcterms:created xsi:type="dcterms:W3CDTF">1999-06-02T23:29:55Z</dcterms:created>
  <dcterms:modified xsi:type="dcterms:W3CDTF">2019-07-16T23:38:22Z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61877e57-b960-4b7d-8e52-57e8e887868b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AuthorIds_UIVersion_512">
    <vt:lpwstr>1866</vt:lpwstr>
  </property>
</Properties>
</file>