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firstSheet="1" activeTab="1"/>
  </bookViews>
  <sheets>
    <sheet name="CX Debt Service Plan" sheetId="1" r:id="rId1"/>
    <sheet name="CASP Appropriation Summmary" sheetId="2" r:id="rId2"/>
    <sheet name="CASP cashflow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'CASP Appropriation Summmary'!$A$2:$H$214</definedName>
    <definedName name="_xlnm.Print_Area" localSheetId="2">'CASP cashflow'!$C$110:$E$133</definedName>
    <definedName name="_xlnm.Print_Area" localSheetId="0">'CX Debt Service Plan'!$A$4:$J$112</definedName>
  </definedNames>
  <calcPr fullCalcOnLoad="1"/>
</workbook>
</file>

<file path=xl/comments1.xml><?xml version="1.0" encoding="utf-8"?>
<comments xmlns="http://schemas.openxmlformats.org/spreadsheetml/2006/main">
  <authors>
    <author>Bob Williams</author>
    <author>Robert Williams</author>
  </authors>
  <commentList>
    <comment ref="C18" authorId="0">
      <text>
        <r>
          <rPr>
            <b/>
            <sz val="8"/>
            <rFont val="Tahoma"/>
            <family val="0"/>
          </rPr>
          <t>Bob Williams:</t>
        </r>
        <r>
          <rPr>
            <sz val="8"/>
            <rFont val="Tahoma"/>
            <family val="0"/>
          </rPr>
          <t xml:space="preserve">
currently as of 8/28/2000 from Nigel is   5.5% but use 5.75 to provide cushion plus issuancce.</t>
        </r>
      </text>
    </comment>
    <comment ref="C19" authorId="0">
      <text>
        <r>
          <rPr>
            <b/>
            <sz val="8"/>
            <rFont val="Tahoma"/>
            <family val="0"/>
          </rPr>
          <t>Bob Williams:</t>
        </r>
        <r>
          <rPr>
            <sz val="8"/>
            <rFont val="Tahoma"/>
            <family val="0"/>
          </rPr>
          <t xml:space="preserve">
current rate per Nigel on 8/28/2000</t>
        </r>
      </text>
    </comment>
    <comment ref="G64" authorId="0">
      <text>
        <r>
          <rPr>
            <b/>
            <sz val="8"/>
            <rFont val="Tahoma"/>
            <family val="0"/>
          </rPr>
          <t>Bob Williams:</t>
        </r>
        <r>
          <rPr>
            <sz val="8"/>
            <rFont val="Tahoma"/>
            <family val="0"/>
          </rPr>
          <t xml:space="preserve">
Use last year increases from JR numbers to project final 2 years in the plan 9.28.2000
</t>
        </r>
      </text>
    </comment>
    <comment ref="D66" authorId="1">
      <text>
        <r>
          <rPr>
            <b/>
            <sz val="8"/>
            <rFont val="Tahoma"/>
            <family val="0"/>
          </rPr>
          <t>Robert Williams:</t>
        </r>
        <r>
          <rPr>
            <sz val="8"/>
            <rFont val="Tahoma"/>
            <family val="0"/>
          </rPr>
          <t xml:space="preserve">
These numbers for 2000 thru 2003 from Jim record on 9.28.2000
These numbers revised per Helene on 4.2.2001</t>
        </r>
      </text>
    </comment>
  </commentList>
</comments>
</file>

<file path=xl/sharedStrings.xml><?xml version="1.0" encoding="utf-8"?>
<sst xmlns="http://schemas.openxmlformats.org/spreadsheetml/2006/main" count="352" uniqueCount="167">
  <si>
    <t>Borrowing</t>
  </si>
  <si>
    <t>w Borrowing Costs</t>
  </si>
  <si>
    <t>Date</t>
  </si>
  <si>
    <t>Annual Debt Service</t>
  </si>
  <si>
    <t>RCECC</t>
  </si>
  <si>
    <t>NRF</t>
  </si>
  <si>
    <t>CASP</t>
  </si>
  <si>
    <t>Seismic Fixes</t>
  </si>
  <si>
    <t>ISP</t>
  </si>
  <si>
    <t>Monthly</t>
  </si>
  <si>
    <t>Quarterly</t>
  </si>
  <si>
    <t>Assumptions on future financing:</t>
  </si>
  <si>
    <t>Original</t>
  </si>
  <si>
    <t>Current Model</t>
  </si>
  <si>
    <t>20 year debt</t>
  </si>
  <si>
    <t>Interfund Borrowing rate</t>
  </si>
  <si>
    <t>Ban effective rate</t>
  </si>
  <si>
    <t>Original Package Provided:</t>
  </si>
  <si>
    <t>Pre 1999</t>
  </si>
  <si>
    <t>1999 Issues</t>
  </si>
  <si>
    <t>Total</t>
  </si>
  <si>
    <t>Revised Current CX Debt Service (Corrected):</t>
  </si>
  <si>
    <t>Difference-Pre-1999</t>
  </si>
  <si>
    <t>Total Current CX Debt</t>
  </si>
  <si>
    <t>Additional Principal Assumptions</t>
  </si>
  <si>
    <t>Addition to Debt:</t>
  </si>
  <si>
    <t>Baseline Scenario</t>
  </si>
  <si>
    <t>Alternative Scenario</t>
  </si>
  <si>
    <t>Principal</t>
  </si>
  <si>
    <t>Years</t>
  </si>
  <si>
    <t>Percent</t>
  </si>
  <si>
    <t>Prin. +/-</t>
  </si>
  <si>
    <t>(In Millions of $'s)</t>
  </si>
  <si>
    <t>Courthouse Seismic</t>
  </si>
  <si>
    <t>Base Seismic w/o South Entrance</t>
  </si>
  <si>
    <t xml:space="preserve"> </t>
  </si>
  <si>
    <t xml:space="preserve"> RCECC</t>
  </si>
  <si>
    <t>FSRP Placeholder</t>
  </si>
  <si>
    <t>$10 MM, 22%, 3 years</t>
  </si>
  <si>
    <t>Tech Bond Place Holder</t>
  </si>
  <si>
    <t>1999 bond plus inflation</t>
  </si>
  <si>
    <t xml:space="preserve"> Barclay Dean Purchase $3.0 million</t>
  </si>
  <si>
    <t xml:space="preserve"> Barclay Dean Purchase Financing from Sheriff's current budget</t>
  </si>
  <si>
    <t>Funded from existing sheriff's lease $'s</t>
  </si>
  <si>
    <t>North Rehabilitation Facility (NRF)</t>
  </si>
  <si>
    <t>$19.53 Jan 2000 escalated to time of construction</t>
  </si>
  <si>
    <t>ISP Project</t>
  </si>
  <si>
    <t>Per Current estimates; under review for reduction</t>
  </si>
  <si>
    <t>Unallocated Debt Capacity</t>
  </si>
  <si>
    <t xml:space="preserve">                               Total Additions</t>
  </si>
  <si>
    <t xml:space="preserve">                               Grand Total</t>
  </si>
  <si>
    <t>Revenue Increase %</t>
  </si>
  <si>
    <t>Estimated CX Revenues subject to 6% fund balance requirement</t>
  </si>
  <si>
    <t>Debt as % of CX Revenues:  Baseline Scenario</t>
  </si>
  <si>
    <t>Debt as % of CX Revenues:  Current  Scenario</t>
  </si>
  <si>
    <t>Debt Service Additions:</t>
  </si>
  <si>
    <t>Courthouse Seismic and Seismic Fixes</t>
  </si>
  <si>
    <t>Total Additions</t>
  </si>
  <si>
    <t>Prior Debt</t>
  </si>
  <si>
    <t>Total Debt</t>
  </si>
  <si>
    <t>Previous Service Additions:</t>
  </si>
  <si>
    <t>above CASP</t>
  </si>
  <si>
    <t>Interest Rate</t>
  </si>
  <si>
    <t>Term of debt (yrs)</t>
  </si>
  <si>
    <t>Debt as % of CX Revenues:  Previous  Scenario-2002 Budget</t>
  </si>
  <si>
    <t>except FSRP and Tech Bond</t>
  </si>
  <si>
    <t>Comments on change</t>
  </si>
  <si>
    <t>delay financing 6 months</t>
  </si>
  <si>
    <t>Defer replacement; planning and demo only</t>
  </si>
  <si>
    <t>Previously $5.3 million in CASP above</t>
  </si>
  <si>
    <t>Reflects revised costs and schedule</t>
  </si>
  <si>
    <t>Reflects updated plan; still under review</t>
  </si>
  <si>
    <t>Mo</t>
  </si>
  <si>
    <t>Year</t>
  </si>
  <si>
    <t>Accum Expenditures</t>
  </si>
  <si>
    <t>Appropriations</t>
  </si>
  <si>
    <t>Notes</t>
  </si>
  <si>
    <t>Jan</t>
  </si>
  <si>
    <t xml:space="preserve">Appropriation in 1997 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</si>
  <si>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</si>
  <si>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</si>
  <si>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</si>
  <si>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</si>
  <si>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</si>
  <si>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</si>
  <si>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</si>
  <si>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</si>
  <si>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</si>
  <si>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</si>
  <si>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</si>
  <si>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Ord# 13859</t>
  </si>
  <si>
    <t>Jun</t>
  </si>
  <si>
    <t>Ord# 13945</t>
  </si>
  <si>
    <t>Ord# 14088</t>
  </si>
  <si>
    <t xml:space="preserve">Core CH Seismic </t>
  </si>
  <si>
    <t>CH Security</t>
  </si>
  <si>
    <t>Red Line Indicates Transition to Construction Funds</t>
  </si>
  <si>
    <t>Legend:</t>
  </si>
  <si>
    <t>Pre-1998</t>
  </si>
  <si>
    <t>Total Current Est</t>
  </si>
  <si>
    <t>total spent +bud est</t>
  </si>
  <si>
    <t>Note $33,000 rev reimbursement from AFIS project</t>
  </si>
  <si>
    <t>Balance to App</t>
  </si>
  <si>
    <t>July 2002 Appropriation Request</t>
  </si>
  <si>
    <r>
      <t xml:space="preserve">$ 9,043,823 </t>
    </r>
    <r>
      <rPr>
        <sz val="8"/>
        <rFont val="Times New Roman"/>
        <family val="1"/>
      </rPr>
      <t xml:space="preserve">PreConst. Authorization </t>
    </r>
  </si>
  <si>
    <r>
      <t>$60,535,884</t>
    </r>
    <r>
      <rPr>
        <sz val="8"/>
        <rFont val="Times New Roman"/>
        <family val="1"/>
      </rPr>
      <t xml:space="preserve"> Constr.Phase Authorization</t>
    </r>
  </si>
  <si>
    <t>interim financing</t>
  </si>
  <si>
    <t>Permanent financing</t>
  </si>
  <si>
    <t>RCECC Cash Flow</t>
  </si>
  <si>
    <t>May 2002</t>
  </si>
  <si>
    <t>Accumulated Interest</t>
  </si>
  <si>
    <t>Accumulated Balance</t>
  </si>
  <si>
    <t>Period Interest</t>
  </si>
  <si>
    <t>Accumulated Int</t>
  </si>
  <si>
    <t>Accumulated</t>
  </si>
  <si>
    <t>Earnings Rate</t>
  </si>
  <si>
    <t>1999, 2000 and 2001</t>
  </si>
  <si>
    <t>Previous Appn</t>
  </si>
  <si>
    <t>BAN rate</t>
  </si>
  <si>
    <t>January 2002</t>
  </si>
  <si>
    <t>rate+1% BAN setup</t>
  </si>
  <si>
    <t>February 2002</t>
  </si>
  <si>
    <t>March 2002</t>
  </si>
  <si>
    <t xml:space="preserve">April 2002 </t>
  </si>
  <si>
    <t>Original Appn with bonds funded</t>
  </si>
  <si>
    <t>June 2002</t>
  </si>
  <si>
    <t>July 2002</t>
  </si>
  <si>
    <t>Pre 1998</t>
  </si>
  <si>
    <t>August 2002</t>
  </si>
  <si>
    <t>September 2002</t>
  </si>
  <si>
    <t>October 2002</t>
  </si>
  <si>
    <t>November 2002</t>
  </si>
  <si>
    <t>December 2002</t>
  </si>
  <si>
    <t>January 2003</t>
  </si>
  <si>
    <t>Bond Issuance</t>
  </si>
  <si>
    <t>February 2003</t>
  </si>
  <si>
    <t>March 2003</t>
  </si>
  <si>
    <t xml:space="preserve">April 2003 </t>
  </si>
  <si>
    <t>May 2003</t>
  </si>
  <si>
    <t>June 2003</t>
  </si>
  <si>
    <t>July 2003</t>
  </si>
  <si>
    <t>TOTAL</t>
  </si>
  <si>
    <t>Total Costs</t>
  </si>
  <si>
    <t>Previous</t>
  </si>
  <si>
    <t>Expenditures</t>
  </si>
  <si>
    <t>Appropriation previous</t>
  </si>
  <si>
    <t>RCECC Bond</t>
  </si>
  <si>
    <t>Interest Earnings Net</t>
  </si>
  <si>
    <t>Subtotal</t>
  </si>
  <si>
    <t>Net Balance of Rev:</t>
  </si>
  <si>
    <t>Est</t>
  </si>
  <si>
    <t>April</t>
  </si>
  <si>
    <t>Act 1998 thru 2/2002</t>
  </si>
  <si>
    <t>Paid thru 5/31/02</t>
  </si>
  <si>
    <t>Project Total</t>
  </si>
  <si>
    <t>June to end exp</t>
  </si>
  <si>
    <t>June to end int</t>
  </si>
  <si>
    <t>Pre 1998 Expenditures</t>
  </si>
  <si>
    <t>CASP Bond</t>
  </si>
  <si>
    <t>Reimbursement from AFIS</t>
  </si>
  <si>
    <t>Seismic Fix Additions</t>
  </si>
  <si>
    <t>Direct Estimated Costs</t>
  </si>
  <si>
    <t>Estimated Financing</t>
  </si>
  <si>
    <t>Seismic w Financing</t>
  </si>
  <si>
    <t>Total CASP/Repairs</t>
  </si>
  <si>
    <t>Total w/ Transaction Costs</t>
  </si>
  <si>
    <t>Bond-CASP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</si>
</sst>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_(* #,##0.000_);_(* \(#,##0.000\);_(* &quot;-&quot;??_);_(@_)"/>
    <numFmt numFmtId="168" formatCode="_(* #,##0.0_);_(* \(#,##0.0\);_(* &quot;-&quot;??_);_(@_)"/>
    <numFmt numFmtId="169" formatCode="0.0%"/>
    <numFmt numFmtId="170" formatCode="mmmm\ d\,\ yyyy"/>
    <numFmt numFmtId="171" formatCode="dd\-mmm\-yy"/>
  </numFmts>
  <fonts count="26">
    <font>
      <sz val="10"/>
      <name val="Arial"/>
      <family val="0"/>
    </font>
    <font>
      <sz val="8"/>
      <name val="Tms Rmn"/>
      <family val="0"/>
    </font>
    <font>
      <u val="single"/>
      <sz val="8"/>
      <name val="Tms Rmn"/>
      <family val="0"/>
    </font>
    <font>
      <b/>
      <sz val="10"/>
      <name val="Tms Rm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b/>
      <u val="single"/>
      <sz val="10"/>
      <name val="Tms Rmn"/>
      <family val="0"/>
    </font>
    <font>
      <sz val="7"/>
      <name val="Tms Rmn"/>
      <family val="0"/>
    </font>
    <font>
      <b/>
      <sz val="7"/>
      <name val="Tms Rmn"/>
      <family val="0"/>
    </font>
    <font>
      <sz val="9"/>
      <name val="Times New Roman"/>
      <family val="1"/>
    </font>
    <font>
      <sz val="10"/>
      <name val="Tms Rmn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name val="Tms Rmn"/>
      <family val="0"/>
    </font>
    <font>
      <b/>
      <sz val="9"/>
      <name val="Tms Rmn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6" fillId="0" borderId="0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0" xfId="15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9" fillId="0" borderId="0" xfId="15" applyNumberFormat="1" applyFont="1" applyAlignment="1">
      <alignment/>
    </xf>
    <xf numFmtId="164" fontId="9" fillId="3" borderId="0" xfId="0" applyNumberFormat="1" applyFont="1" applyFill="1" applyAlignment="1">
      <alignment horizontal="center"/>
    </xf>
    <xf numFmtId="164" fontId="9" fillId="4" borderId="1" xfId="15" applyNumberFormat="1" applyFont="1" applyFill="1" applyBorder="1" applyAlignment="1">
      <alignment/>
    </xf>
    <xf numFmtId="164" fontId="1" fillId="4" borderId="2" xfId="15" applyNumberFormat="1" applyFont="1" applyFill="1" applyBorder="1" applyAlignment="1">
      <alignment/>
    </xf>
    <xf numFmtId="164" fontId="1" fillId="4" borderId="3" xfId="15" applyNumberFormat="1" applyFont="1" applyFill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9" fontId="1" fillId="0" borderId="8" xfId="20" applyFont="1" applyBorder="1" applyAlignment="1">
      <alignment/>
    </xf>
    <xf numFmtId="167" fontId="1" fillId="0" borderId="7" xfId="15" applyNumberFormat="1" applyFont="1" applyBorder="1" applyAlignment="1">
      <alignment/>
    </xf>
    <xf numFmtId="168" fontId="1" fillId="0" borderId="8" xfId="15" applyNumberFormat="1" applyFont="1" applyBorder="1" applyAlignment="1">
      <alignment/>
    </xf>
    <xf numFmtId="9" fontId="1" fillId="0" borderId="0" xfId="2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0" xfId="15" applyNumberFormat="1" applyFont="1" applyFill="1" applyAlignment="1">
      <alignment/>
    </xf>
    <xf numFmtId="164" fontId="1" fillId="0" borderId="9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9" fontId="1" fillId="0" borderId="11" xfId="20" applyFont="1" applyBorder="1" applyAlignment="1">
      <alignment/>
    </xf>
    <xf numFmtId="167" fontId="1" fillId="0" borderId="9" xfId="15" applyNumberFormat="1" applyFont="1" applyBorder="1" applyAlignment="1">
      <alignment/>
    </xf>
    <xf numFmtId="168" fontId="1" fillId="0" borderId="11" xfId="15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9" xfId="15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0" fontId="1" fillId="0" borderId="0" xfId="2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9" fontId="1" fillId="0" borderId="0" xfId="20" applyNumberFormat="1" applyFont="1" applyAlignment="1">
      <alignment/>
    </xf>
    <xf numFmtId="0" fontId="1" fillId="0" borderId="0" xfId="0" applyFont="1" applyAlignment="1" quotePrefix="1">
      <alignment/>
    </xf>
    <xf numFmtId="0" fontId="4" fillId="5" borderId="0" xfId="0" applyFont="1" applyFill="1" applyBorder="1" applyAlignment="1">
      <alignment/>
    </xf>
    <xf numFmtId="10" fontId="4" fillId="5" borderId="0" xfId="20" applyNumberFormat="1" applyFont="1" applyFill="1" applyBorder="1" applyAlignment="1">
      <alignment/>
    </xf>
    <xf numFmtId="164" fontId="6" fillId="5" borderId="0" xfId="15" applyNumberFormat="1" applyFont="1" applyFill="1" applyBorder="1" applyAlignment="1">
      <alignment horizontal="right"/>
    </xf>
    <xf numFmtId="164" fontId="6" fillId="5" borderId="0" xfId="15" applyNumberFormat="1" applyFont="1" applyFill="1" applyBorder="1" applyAlignment="1">
      <alignment/>
    </xf>
    <xf numFmtId="164" fontId="6" fillId="0" borderId="0" xfId="15" applyNumberFormat="1" applyFont="1" applyAlignment="1">
      <alignment/>
    </xf>
    <xf numFmtId="9" fontId="1" fillId="0" borderId="0" xfId="20" applyFont="1" applyFill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0" fontId="4" fillId="0" borderId="0" xfId="20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0" fontId="5" fillId="0" borderId="0" xfId="20" applyNumberFormat="1" applyFont="1" applyFill="1" applyBorder="1" applyAlignment="1">
      <alignment/>
    </xf>
    <xf numFmtId="164" fontId="0" fillId="0" borderId="12" xfId="15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66" fontId="3" fillId="0" borderId="13" xfId="2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7" fillId="0" borderId="0" xfId="20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66" fontId="3" fillId="0" borderId="14" xfId="2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15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0" fontId="1" fillId="0" borderId="2" xfId="0" applyFont="1" applyFill="1" applyBorder="1" applyAlignment="1">
      <alignment/>
    </xf>
    <xf numFmtId="37" fontId="1" fillId="0" borderId="2" xfId="17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38" fontId="4" fillId="0" borderId="0" xfId="19" applyNumberFormat="1" applyFont="1" applyFill="1" applyBorder="1" applyProtection="1">
      <alignment/>
      <protection/>
    </xf>
    <xf numFmtId="0" fontId="1" fillId="0" borderId="8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0" fontId="5" fillId="0" borderId="7" xfId="2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 horizontal="left" indent="2"/>
    </xf>
    <xf numFmtId="164" fontId="9" fillId="0" borderId="0" xfId="15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164" fontId="9" fillId="0" borderId="16" xfId="15" applyNumberFormat="1" applyFont="1" applyFill="1" applyBorder="1" applyAlignment="1">
      <alignment horizontal="center"/>
    </xf>
    <xf numFmtId="164" fontId="1" fillId="0" borderId="8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 horizontal="center"/>
    </xf>
    <xf numFmtId="164" fontId="9" fillId="0" borderId="7" xfId="15" applyNumberFormat="1" applyFont="1" applyFill="1" applyBorder="1" applyAlignment="1">
      <alignment horizontal="left"/>
    </xf>
    <xf numFmtId="164" fontId="1" fillId="0" borderId="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 vertical="justify"/>
    </xf>
    <xf numFmtId="164" fontId="4" fillId="0" borderId="0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10" fontId="1" fillId="0" borderId="0" xfId="20" applyNumberFormat="1" applyFont="1" applyBorder="1" applyAlignment="1">
      <alignment/>
    </xf>
    <xf numFmtId="10" fontId="1" fillId="0" borderId="8" xfId="20" applyNumberFormat="1" applyFont="1" applyBorder="1" applyAlignment="1">
      <alignment/>
    </xf>
    <xf numFmtId="0" fontId="11" fillId="0" borderId="7" xfId="0" applyFont="1" applyBorder="1" applyAlignment="1">
      <alignment wrapText="1"/>
    </xf>
    <xf numFmtId="164" fontId="12" fillId="0" borderId="0" xfId="15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169" fontId="1" fillId="0" borderId="0" xfId="20" applyNumberFormat="1" applyFont="1" applyBorder="1" applyAlignment="1">
      <alignment/>
    </xf>
    <xf numFmtId="169" fontId="1" fillId="0" borderId="8" xfId="20" applyNumberFormat="1" applyFont="1" applyBorder="1" applyAlignment="1">
      <alignment/>
    </xf>
    <xf numFmtId="0" fontId="10" fillId="0" borderId="7" xfId="0" applyFont="1" applyBorder="1" applyAlignment="1">
      <alignment horizontal="left"/>
    </xf>
    <xf numFmtId="164" fontId="13" fillId="0" borderId="7" xfId="15" applyNumberFormat="1" applyFont="1" applyBorder="1" applyAlignment="1">
      <alignment/>
    </xf>
    <xf numFmtId="164" fontId="14" fillId="0" borderId="7" xfId="15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164" fontId="14" fillId="0" borderId="7" xfId="15" applyNumberFormat="1" applyFont="1" applyBorder="1" applyAlignment="1">
      <alignment vertical="justify"/>
    </xf>
    <xf numFmtId="0" fontId="1" fillId="0" borderId="0" xfId="0" applyFont="1" applyBorder="1" applyAlignment="1">
      <alignment/>
    </xf>
    <xf numFmtId="0" fontId="14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18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169" fontId="17" fillId="0" borderId="10" xfId="20" applyNumberFormat="1" applyFont="1" applyBorder="1" applyAlignment="1">
      <alignment/>
    </xf>
    <xf numFmtId="169" fontId="17" fillId="0" borderId="11" xfId="20" applyNumberFormat="1" applyFont="1" applyBorder="1" applyAlignment="1">
      <alignment/>
    </xf>
    <xf numFmtId="0" fontId="10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/>
    </xf>
    <xf numFmtId="10" fontId="1" fillId="5" borderId="5" xfId="20" applyNumberFormat="1" applyFont="1" applyFill="1" applyBorder="1" applyAlignment="1">
      <alignment/>
    </xf>
    <xf numFmtId="0" fontId="1" fillId="5" borderId="6" xfId="0" applyFont="1" applyFill="1" applyBorder="1" applyAlignment="1">
      <alignment/>
    </xf>
    <xf numFmtId="164" fontId="13" fillId="5" borderId="7" xfId="15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10" fontId="1" fillId="5" borderId="0" xfId="2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4" fillId="5" borderId="7" xfId="15" applyNumberFormat="1" applyFont="1" applyFill="1" applyBorder="1" applyAlignment="1">
      <alignment/>
    </xf>
    <xf numFmtId="10" fontId="1" fillId="5" borderId="0" xfId="0" applyNumberFormat="1" applyFont="1" applyFill="1" applyBorder="1" applyAlignment="1">
      <alignment/>
    </xf>
    <xf numFmtId="164" fontId="1" fillId="5" borderId="0" xfId="15" applyNumberFormat="1" applyFont="1" applyFill="1" applyBorder="1" applyAlignment="1">
      <alignment/>
    </xf>
    <xf numFmtId="164" fontId="1" fillId="5" borderId="8" xfId="15" applyNumberFormat="1" applyFont="1" applyFill="1" applyBorder="1" applyAlignment="1">
      <alignment/>
    </xf>
    <xf numFmtId="164" fontId="14" fillId="5" borderId="7" xfId="15" applyNumberFormat="1" applyFont="1" applyFill="1" applyBorder="1" applyAlignment="1">
      <alignment vertical="justify"/>
    </xf>
    <xf numFmtId="0" fontId="1" fillId="5" borderId="0" xfId="0" applyFont="1" applyFill="1" applyBorder="1" applyAlignment="1">
      <alignment/>
    </xf>
    <xf numFmtId="0" fontId="14" fillId="5" borderId="7" xfId="0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164" fontId="1" fillId="5" borderId="8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8" fillId="5" borderId="7" xfId="0" applyFont="1" applyFill="1" applyBorder="1" applyAlignment="1">
      <alignment horizontal="left"/>
    </xf>
    <xf numFmtId="0" fontId="9" fillId="5" borderId="0" xfId="0" applyFont="1" applyFill="1" applyBorder="1" applyAlignment="1">
      <alignment/>
    </xf>
    <xf numFmtId="169" fontId="9" fillId="5" borderId="0" xfId="20" applyNumberFormat="1" applyFont="1" applyFill="1" applyBorder="1" applyAlignment="1">
      <alignment/>
    </xf>
    <xf numFmtId="169" fontId="9" fillId="5" borderId="8" xfId="20" applyNumberFormat="1" applyFont="1" applyFill="1" applyBorder="1" applyAlignment="1">
      <alignment/>
    </xf>
    <xf numFmtId="0" fontId="1" fillId="5" borderId="7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14" fontId="6" fillId="5" borderId="0" xfId="0" applyNumberFormat="1" applyFont="1" applyFill="1" applyBorder="1" applyAlignment="1">
      <alignment/>
    </xf>
    <xf numFmtId="38" fontId="4" fillId="5" borderId="0" xfId="19" applyNumberFormat="1" applyFont="1" applyFill="1" applyBorder="1" applyProtection="1">
      <alignment/>
      <protection/>
    </xf>
    <xf numFmtId="38" fontId="6" fillId="5" borderId="0" xfId="0" applyNumberFormat="1" applyFont="1" applyFill="1" applyBorder="1" applyAlignment="1">
      <alignment/>
    </xf>
    <xf numFmtId="10" fontId="5" fillId="5" borderId="7" xfId="20" applyNumberFormat="1" applyFont="1" applyFill="1" applyBorder="1" applyAlignment="1">
      <alignment horizontal="right"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 horizontal="left"/>
    </xf>
    <xf numFmtId="5" fontId="20" fillId="0" borderId="0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0" applyNumberFormat="1" applyFont="1" applyBorder="1" applyAlignment="1" applyProtection="1">
      <alignment/>
      <protection/>
    </xf>
    <xf numFmtId="169" fontId="6" fillId="0" borderId="0" xfId="20" applyNumberFormat="1" applyFont="1" applyAlignment="1">
      <alignment/>
    </xf>
    <xf numFmtId="41" fontId="6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0" fontId="6" fillId="0" borderId="0" xfId="20" applyNumberFormat="1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15" applyFont="1" applyAlignment="1">
      <alignment/>
    </xf>
    <xf numFmtId="49" fontId="6" fillId="0" borderId="0" xfId="0" applyNumberFormat="1" applyFont="1" applyAlignment="1">
      <alignment/>
    </xf>
    <xf numFmtId="5" fontId="23" fillId="0" borderId="1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65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41" fontId="22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64" fontId="6" fillId="0" borderId="12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164" fontId="6" fillId="0" borderId="14" xfId="15" applyNumberFormat="1" applyFont="1" applyBorder="1" applyAlignment="1">
      <alignment/>
    </xf>
    <xf numFmtId="1" fontId="24" fillId="0" borderId="0" xfId="0" applyNumberFormat="1" applyFont="1" applyBorder="1" applyAlignment="1">
      <alignment horizontal="right"/>
    </xf>
    <xf numFmtId="171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/>
    </xf>
    <xf numFmtId="38" fontId="22" fillId="6" borderId="4" xfId="0" applyNumberFormat="1" applyFont="1" applyFill="1" applyBorder="1" applyAlignment="1" applyProtection="1">
      <alignment/>
      <protection/>
    </xf>
    <xf numFmtId="38" fontId="22" fillId="6" borderId="17" xfId="0" applyNumberFormat="1" applyFont="1" applyFill="1" applyBorder="1" applyAlignment="1" applyProtection="1">
      <alignment/>
      <protection/>
    </xf>
    <xf numFmtId="38" fontId="22" fillId="6" borderId="7" xfId="0" applyNumberFormat="1" applyFont="1" applyFill="1" applyBorder="1" applyAlignment="1" applyProtection="1">
      <alignment/>
      <protection/>
    </xf>
    <xf numFmtId="38" fontId="22" fillId="6" borderId="8" xfId="0" applyNumberFormat="1" applyFont="1" applyFill="1" applyBorder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0" fontId="22" fillId="6" borderId="7" xfId="0" applyFont="1" applyFill="1" applyBorder="1" applyAlignment="1">
      <alignment/>
    </xf>
    <xf numFmtId="164" fontId="22" fillId="6" borderId="8" xfId="15" applyNumberFormat="1" applyFont="1" applyFill="1" applyBorder="1" applyAlignment="1">
      <alignment/>
    </xf>
    <xf numFmtId="10" fontId="6" fillId="0" borderId="0" xfId="20" applyNumberFormat="1" applyFont="1" applyBorder="1" applyAlignment="1">
      <alignment/>
    </xf>
    <xf numFmtId="38" fontId="22" fillId="6" borderId="9" xfId="0" applyNumberFormat="1" applyFont="1" applyFill="1" applyBorder="1" applyAlignment="1" applyProtection="1">
      <alignment/>
      <protection/>
    </xf>
    <xf numFmtId="38" fontId="25" fillId="6" borderId="17" xfId="0" applyNumberFormat="1" applyFont="1" applyFill="1" applyBorder="1" applyAlignment="1" applyProtection="1">
      <alignment/>
      <protection/>
    </xf>
    <xf numFmtId="38" fontId="21" fillId="6" borderId="7" xfId="0" applyNumberFormat="1" applyFont="1" applyFill="1" applyBorder="1" applyAlignment="1" applyProtection="1">
      <alignment/>
      <protection/>
    </xf>
    <xf numFmtId="0" fontId="1" fillId="0" borderId="7" xfId="0" applyFont="1" applyBorder="1" applyAlignment="1" quotePrefix="1">
      <alignment horizontal="center"/>
    </xf>
    <xf numFmtId="0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%20Budget\CX%20Debt%20Plan\CASP\CX%20Debt%20Plan%206.24.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YTON\Local%20Settings\Temporary%20Internet%20Files\OLK5\2002%20CASP%20Supplemental%20Package%206.24.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%20Budget\Jail\ISP%20Current\Revised%20CX%20Debt%20Service%2011.6.2001%20emb%2012-2n%20DL%204.30.2002%20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%20Budget\CX%20Debt%20Plan\CASP\012401%20Ord%2003212001%20CIP%20Cash%20Flow%20with%20Actu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Summaries"/>
      <sheetName val="Borrowing Summary"/>
      <sheetName val="Project Appropriation summary"/>
      <sheetName val="CX Debt Service Summary Plan"/>
      <sheetName val="ISP Project"/>
      <sheetName val="DCFM Operations"/>
      <sheetName val="ISP Construction Estimate"/>
      <sheetName val="Latest Revised RCECC Cash flow"/>
      <sheetName val="Seismic Revised Base mst recent"/>
      <sheetName val="Seismic w South mst recent"/>
      <sheetName val="CASP revised 2.6.2001"/>
      <sheetName val="CASP w South Entry 2.6.2001"/>
      <sheetName val="NRF Financing Scenario"/>
      <sheetName val="NRF Spend RR Sheet October 2000"/>
      <sheetName val="FSRP Allowance"/>
      <sheetName val="RCECC w higher corrected cost"/>
      <sheetName val="bond Detail rec from BF 10.9.20"/>
    </sheetNames>
    <sheetDataSet>
      <sheetData sheetId="1">
        <row r="6">
          <cell r="B6">
            <v>9217059</v>
          </cell>
        </row>
        <row r="11">
          <cell r="D11">
            <v>30450000</v>
          </cell>
        </row>
        <row r="12">
          <cell r="D12">
            <v>82950000</v>
          </cell>
          <cell r="E12">
            <v>6609000</v>
          </cell>
        </row>
        <row r="13">
          <cell r="D13">
            <v>21640000</v>
          </cell>
        </row>
      </sheetData>
      <sheetData sheetId="14">
        <row r="15">
          <cell r="D15">
            <v>28310000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P Appropriation History"/>
      <sheetName val="AFIS Supplemental"/>
      <sheetName val="RCECC Cashflow"/>
      <sheetName val="CASP Financing Cashflow"/>
      <sheetName val="CX Debt Plan"/>
      <sheetName val="CASP Cashflow"/>
      <sheetName val="Seismic Repairs"/>
      <sheetName val="ISP"/>
      <sheetName val="Current CASP"/>
    </sheetNames>
    <sheetDataSet>
      <sheetData sheetId="3">
        <row r="111">
          <cell r="E111">
            <v>82500000</v>
          </cell>
        </row>
        <row r="130">
          <cell r="E130">
            <v>2966341.2808238766</v>
          </cell>
        </row>
      </sheetData>
      <sheetData sheetId="6">
        <row r="62">
          <cell r="E62">
            <v>2867132.375</v>
          </cell>
        </row>
      </sheetData>
      <sheetData sheetId="8">
        <row r="11">
          <cell r="K11">
            <v>83244884.36428235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Summaries"/>
      <sheetName val="Borrowing Summary"/>
      <sheetName val="Project Appropriation summary"/>
      <sheetName val="CX Debt Service Summary Plan"/>
      <sheetName val="Jail Capital Contributions"/>
      <sheetName val="ISP Project"/>
      <sheetName val="DCFM Operations"/>
      <sheetName val="ISP Construction Estimate"/>
      <sheetName val="Latest Revised RCECC Cash flow"/>
      <sheetName val="RCECC as of 10.31.2001"/>
      <sheetName val="Seismic Revised Base mst recent"/>
      <sheetName val="Seismic w South mst recent"/>
      <sheetName val="CASP revised 2.6.2001"/>
      <sheetName val="CASP w South Entry 2.6.2001"/>
      <sheetName val="NRF Financing Scenario"/>
      <sheetName val="NRF Spend RR Sheet October 2000"/>
      <sheetName val="FSRP Allowance"/>
      <sheetName val="RCECC w higher corrected cost"/>
      <sheetName val="bond Detail rec from BF 10.9.20"/>
    </sheetNames>
    <sheetDataSet>
      <sheetData sheetId="1">
        <row r="11">
          <cell r="B11">
            <v>29900000</v>
          </cell>
          <cell r="D11">
            <v>30200000</v>
          </cell>
        </row>
        <row r="12">
          <cell r="B12">
            <v>82120000</v>
          </cell>
        </row>
        <row r="13">
          <cell r="B13">
            <v>21420000</v>
          </cell>
          <cell r="D13">
            <v>21640000</v>
          </cell>
        </row>
        <row r="14">
          <cell r="B14">
            <v>20150000</v>
          </cell>
          <cell r="D14">
            <v>20350000</v>
          </cell>
        </row>
      </sheetData>
      <sheetData sheetId="3">
        <row r="50">
          <cell r="F50">
            <v>2406000</v>
          </cell>
        </row>
        <row r="55">
          <cell r="G55">
            <v>1724000</v>
          </cell>
        </row>
        <row r="56">
          <cell r="H56">
            <v>810500</v>
          </cell>
          <cell r="I56">
            <v>1621000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+C Adds+O&amp;M "/>
      <sheetName val="Base+SE+1&amp;2+C Adds+O&amp;M"/>
      <sheetName val="Project Summary to Date"/>
      <sheetName val="Detail Backup"/>
      <sheetName val="Crosswalk"/>
      <sheetName val="Add Alts Distribution"/>
    </sheetNames>
    <sheetDataSet>
      <sheetData sheetId="2">
        <row r="4">
          <cell r="F4">
            <v>3559.15</v>
          </cell>
        </row>
        <row r="5">
          <cell r="F5">
            <v>15556.57</v>
          </cell>
        </row>
        <row r="6">
          <cell r="F6">
            <v>36224.56</v>
          </cell>
        </row>
        <row r="7">
          <cell r="F7">
            <v>45994.05</v>
          </cell>
        </row>
        <row r="8">
          <cell r="F8">
            <v>23298.68</v>
          </cell>
        </row>
        <row r="9">
          <cell r="F9">
            <v>20570</v>
          </cell>
        </row>
        <row r="10">
          <cell r="F10">
            <v>56304</v>
          </cell>
        </row>
        <row r="11">
          <cell r="F11">
            <v>52194.2</v>
          </cell>
        </row>
        <row r="12">
          <cell r="F12">
            <v>44569.85</v>
          </cell>
        </row>
        <row r="13">
          <cell r="F13">
            <v>11367.63</v>
          </cell>
        </row>
        <row r="14">
          <cell r="F14">
            <v>55594.88</v>
          </cell>
        </row>
        <row r="15">
          <cell r="F15">
            <v>315114.38</v>
          </cell>
        </row>
        <row r="16">
          <cell r="F16">
            <v>43082.28</v>
          </cell>
        </row>
        <row r="17">
          <cell r="F17">
            <v>303987.95</v>
          </cell>
        </row>
        <row r="18">
          <cell r="F18">
            <v>89554.73</v>
          </cell>
        </row>
        <row r="19">
          <cell r="F19">
            <v>126012.08</v>
          </cell>
        </row>
        <row r="20">
          <cell r="F20">
            <v>37868.06</v>
          </cell>
        </row>
        <row r="21">
          <cell r="F21">
            <v>20191.52</v>
          </cell>
        </row>
        <row r="22">
          <cell r="F22">
            <v>99259.4</v>
          </cell>
        </row>
        <row r="23">
          <cell r="F23">
            <v>125328.63</v>
          </cell>
        </row>
        <row r="24">
          <cell r="F24">
            <v>34236.98</v>
          </cell>
        </row>
        <row r="25">
          <cell r="F25">
            <v>17327.55</v>
          </cell>
        </row>
        <row r="26">
          <cell r="F26">
            <v>3205.31</v>
          </cell>
        </row>
        <row r="27">
          <cell r="F27">
            <v>278664.88</v>
          </cell>
        </row>
        <row r="28">
          <cell r="F28">
            <v>10798.05</v>
          </cell>
        </row>
        <row r="29">
          <cell r="F29">
            <v>202975.97</v>
          </cell>
        </row>
        <row r="30">
          <cell r="F30">
            <v>387469.25</v>
          </cell>
        </row>
        <row r="31">
          <cell r="F31">
            <v>3084.74</v>
          </cell>
        </row>
        <row r="32">
          <cell r="F32">
            <v>396807.5</v>
          </cell>
        </row>
        <row r="33">
          <cell r="F33">
            <v>225462.52000000002</v>
          </cell>
        </row>
        <row r="34">
          <cell r="F34">
            <v>188125.96</v>
          </cell>
        </row>
        <row r="35">
          <cell r="F35">
            <v>186271.58</v>
          </cell>
        </row>
        <row r="36">
          <cell r="F36">
            <v>160836.24</v>
          </cell>
        </row>
        <row r="37">
          <cell r="F37">
            <v>63444.759999999995</v>
          </cell>
        </row>
        <row r="38">
          <cell r="F38">
            <v>12594.77</v>
          </cell>
        </row>
        <row r="39">
          <cell r="F39">
            <v>623403.06</v>
          </cell>
        </row>
        <row r="40">
          <cell r="F40">
            <v>19436.05</v>
          </cell>
        </row>
        <row r="41">
          <cell r="F41">
            <v>22998.03</v>
          </cell>
        </row>
        <row r="42">
          <cell r="F42">
            <v>629610.2100000001</v>
          </cell>
        </row>
        <row r="43">
          <cell r="F43">
            <v>119850.73</v>
          </cell>
        </row>
        <row r="44">
          <cell r="F44">
            <v>494805.76999999996</v>
          </cell>
        </row>
        <row r="45">
          <cell r="F45">
            <v>529166.1</v>
          </cell>
        </row>
        <row r="46">
          <cell r="F46">
            <v>812196.52</v>
          </cell>
        </row>
        <row r="47">
          <cell r="F47">
            <v>558675.04</v>
          </cell>
        </row>
        <row r="48">
          <cell r="F48">
            <v>331099.95999999996</v>
          </cell>
        </row>
        <row r="49">
          <cell r="F49">
            <v>487306.7</v>
          </cell>
        </row>
        <row r="50">
          <cell r="F50">
            <v>142521.13</v>
          </cell>
        </row>
        <row r="51">
          <cell r="F51">
            <v>638349.99</v>
          </cell>
        </row>
        <row r="52">
          <cell r="F52">
            <v>73839.51000000001</v>
          </cell>
        </row>
        <row r="53">
          <cell r="F53">
            <v>158342.47999999998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S112"/>
  <sheetViews>
    <sheetView workbookViewId="0" topLeftCell="A1">
      <selection activeCell="A37" sqref="A37"/>
    </sheetView>
  </sheetViews>
  <sheetFormatPr defaultColWidth="9.140625" defaultRowHeight="12.75"/>
  <cols>
    <col min="1" max="1" width="33.7109375" style="1" customWidth="1"/>
    <col min="2" max="2" width="0.13671875" style="1" hidden="1" customWidth="1"/>
    <col min="3" max="3" width="11.57421875" style="1" hidden="1" customWidth="1"/>
    <col min="4" max="4" width="0.13671875" style="1" hidden="1" customWidth="1"/>
    <col min="5" max="5" width="12.00390625" style="1" customWidth="1"/>
    <col min="6" max="6" width="10.421875" style="1" customWidth="1"/>
    <col min="7" max="7" width="10.140625" style="1" customWidth="1"/>
    <col min="8" max="9" width="13.421875" style="1" customWidth="1"/>
    <col min="10" max="10" width="12.57421875" style="1" customWidth="1"/>
    <col min="11" max="14" width="10.140625" style="1" customWidth="1"/>
    <col min="15" max="15" width="9.140625" style="1" customWidth="1"/>
    <col min="16" max="16" width="5.28125" style="1" customWidth="1"/>
    <col min="17" max="17" width="5.7109375" style="1" customWidth="1"/>
    <col min="18" max="19" width="7.00390625" style="1" customWidth="1"/>
    <col min="20" max="20" width="5.7109375" style="1" customWidth="1"/>
    <col min="21" max="22" width="7.7109375" style="1" customWidth="1"/>
    <col min="23" max="23" width="1.8515625" style="1" customWidth="1"/>
    <col min="24" max="28" width="6.7109375" style="1" customWidth="1"/>
    <col min="29" max="16384" width="7.7109375" style="1" customWidth="1"/>
  </cols>
  <sheetData>
    <row r="1" ht="12"/>
    <row r="2" ht="12"/>
    <row r="3" ht="12"/>
    <row r="4" spans="1:12" ht="12">
      <c r="A4" s="46"/>
      <c r="B4" s="46"/>
      <c r="C4" s="35">
        <f>820950</f>
        <v>820950</v>
      </c>
      <c r="D4" s="46"/>
      <c r="E4" s="46" t="s">
        <v>63</v>
      </c>
      <c r="F4" s="46">
        <v>20</v>
      </c>
      <c r="G4" s="46" t="s">
        <v>65</v>
      </c>
      <c r="H4" s="46"/>
      <c r="I4" s="46"/>
      <c r="J4" s="46"/>
      <c r="K4" s="46"/>
      <c r="L4" s="46"/>
    </row>
    <row r="5" spans="1:12" ht="12">
      <c r="A5" s="46"/>
      <c r="B5" s="46"/>
      <c r="C5" s="35">
        <v>2500000</v>
      </c>
      <c r="D5" s="46"/>
      <c r="E5" s="46" t="s">
        <v>62</v>
      </c>
      <c r="F5" s="60">
        <v>0.05</v>
      </c>
      <c r="G5" s="46"/>
      <c r="H5" s="46"/>
      <c r="I5" s="46"/>
      <c r="J5" s="46"/>
      <c r="K5" s="46"/>
      <c r="L5" s="46"/>
    </row>
    <row r="6" spans="1:12" ht="12.75" thickBot="1">
      <c r="A6" s="46"/>
      <c r="B6" s="46"/>
      <c r="C6" s="61">
        <f>'[1]Borrowing Summary'!B6</f>
        <v>9217059</v>
      </c>
      <c r="D6" s="46"/>
      <c r="E6" s="46"/>
      <c r="F6" s="46"/>
      <c r="G6" s="46"/>
      <c r="H6" s="46"/>
      <c r="I6" s="46"/>
      <c r="J6" s="46"/>
      <c r="K6" s="46"/>
      <c r="L6" s="46"/>
    </row>
    <row r="7" spans="1:12" s="4" customFormat="1" ht="24">
      <c r="A7" s="93"/>
      <c r="B7" s="94"/>
      <c r="C7" s="94"/>
      <c r="D7" s="94"/>
      <c r="E7" s="95" t="s">
        <v>0</v>
      </c>
      <c r="F7" s="95" t="s">
        <v>1</v>
      </c>
      <c r="G7" s="95" t="s">
        <v>2</v>
      </c>
      <c r="H7" s="95" t="s">
        <v>3</v>
      </c>
      <c r="I7" s="188" t="s">
        <v>66</v>
      </c>
      <c r="J7" s="96"/>
      <c r="K7" s="62"/>
      <c r="L7" s="62"/>
    </row>
    <row r="8" spans="1:12" ht="12.75">
      <c r="A8" s="97" t="s">
        <v>4</v>
      </c>
      <c r="B8" s="98"/>
      <c r="C8" s="98"/>
      <c r="D8" s="98"/>
      <c r="E8" s="65">
        <v>30025000</v>
      </c>
      <c r="F8" s="65">
        <f>ROUND(E8/0.99,-4)</f>
        <v>30330000</v>
      </c>
      <c r="G8" s="99">
        <v>37803</v>
      </c>
      <c r="H8" s="100">
        <f>ROUND(-2*PMT($E$18/2,20*2,F8),-3)</f>
        <v>2416000</v>
      </c>
      <c r="I8" s="98" t="s">
        <v>67</v>
      </c>
      <c r="J8" s="101"/>
      <c r="K8" s="46"/>
      <c r="L8" s="46"/>
    </row>
    <row r="9" spans="1:12" ht="12.75">
      <c r="A9" s="97" t="s">
        <v>5</v>
      </c>
      <c r="B9" s="98"/>
      <c r="C9" s="98"/>
      <c r="D9" s="98"/>
      <c r="E9" s="65">
        <v>1750000</v>
      </c>
      <c r="F9" s="65">
        <f>ROUND(E9/0.99,-4)</f>
        <v>1770000</v>
      </c>
      <c r="G9" s="99">
        <v>37987</v>
      </c>
      <c r="H9" s="100">
        <f>ROUND(-2*PMT($E$18/2,20*2,F9),-3)</f>
        <v>141000</v>
      </c>
      <c r="I9" s="98" t="s">
        <v>68</v>
      </c>
      <c r="J9" s="101"/>
      <c r="K9" s="46"/>
      <c r="L9" s="46"/>
    </row>
    <row r="10" spans="1:12" ht="12.75">
      <c r="A10" s="97" t="s">
        <v>6</v>
      </c>
      <c r="B10" s="98"/>
      <c r="C10" s="98"/>
      <c r="D10" s="98"/>
      <c r="E10" s="102">
        <f>'[2]CASP Financing Cashflow'!E111</f>
        <v>82500000</v>
      </c>
      <c r="F10" s="65">
        <f>ROUND(E10/0.99,-4)</f>
        <v>83330000</v>
      </c>
      <c r="G10" s="99">
        <v>38169</v>
      </c>
      <c r="H10" s="100">
        <f>ROUND(-2*PMT($E$18/2,20*2,F10),-3)</f>
        <v>6639000</v>
      </c>
      <c r="I10" s="98" t="s">
        <v>70</v>
      </c>
      <c r="J10" s="101"/>
      <c r="K10" s="46"/>
      <c r="L10" s="46"/>
    </row>
    <row r="11" spans="1:12" ht="12.75">
      <c r="A11" s="103" t="s">
        <v>7</v>
      </c>
      <c r="B11" s="98"/>
      <c r="C11" s="63"/>
      <c r="D11" s="64"/>
      <c r="E11" s="65">
        <f>ROUND('[2]CASP Financing Cashflow'!E130,-4)</f>
        <v>2970000</v>
      </c>
      <c r="F11" s="65">
        <f>ROUND(E11/0.99,-4)</f>
        <v>3000000</v>
      </c>
      <c r="G11" s="99">
        <v>38169</v>
      </c>
      <c r="H11" s="100">
        <f>ROUND(-2*PMT($E$18/2,20*2,F11),-3)</f>
        <v>239000</v>
      </c>
      <c r="I11" s="98" t="s">
        <v>69</v>
      </c>
      <c r="J11" s="101"/>
      <c r="K11" s="46"/>
      <c r="L11" s="46"/>
    </row>
    <row r="12" spans="1:12" ht="12.75">
      <c r="A12" s="103" t="s">
        <v>8</v>
      </c>
      <c r="B12" s="98"/>
      <c r="C12" s="63"/>
      <c r="D12" s="64"/>
      <c r="E12" s="65">
        <v>15920000</v>
      </c>
      <c r="F12" s="65">
        <f>ROUND(E12/0.99,-4)</f>
        <v>16080000</v>
      </c>
      <c r="G12" s="99">
        <v>38534</v>
      </c>
      <c r="H12" s="100">
        <f>ROUND(-2*PMT($E$18/2,20*2,F12),-3)</f>
        <v>1281000</v>
      </c>
      <c r="I12" s="98" t="s">
        <v>71</v>
      </c>
      <c r="J12" s="101"/>
      <c r="K12" s="46"/>
      <c r="L12" s="46"/>
    </row>
    <row r="13" spans="1:12" ht="12.75">
      <c r="A13" s="104"/>
      <c r="B13" s="98"/>
      <c r="C13" s="66"/>
      <c r="D13" s="64"/>
      <c r="E13" s="67"/>
      <c r="F13" s="64"/>
      <c r="G13" s="98"/>
      <c r="H13" s="98"/>
      <c r="I13" s="98"/>
      <c r="J13" s="101"/>
      <c r="K13" s="46"/>
      <c r="L13" s="46"/>
    </row>
    <row r="14" spans="1:12" ht="12.75" hidden="1">
      <c r="A14" s="104"/>
      <c r="B14" s="98"/>
      <c r="C14" s="66"/>
      <c r="D14" s="64"/>
      <c r="E14" s="67"/>
      <c r="F14" s="64"/>
      <c r="G14" s="98"/>
      <c r="H14" s="98"/>
      <c r="I14" s="98"/>
      <c r="J14" s="101"/>
      <c r="K14" s="46"/>
      <c r="L14" s="46"/>
    </row>
    <row r="15" spans="1:12" ht="12.75" hidden="1">
      <c r="A15" s="104"/>
      <c r="B15" s="98"/>
      <c r="C15" s="66"/>
      <c r="D15" s="64"/>
      <c r="E15" s="67"/>
      <c r="F15" s="68">
        <v>12</v>
      </c>
      <c r="G15" s="69">
        <v>4</v>
      </c>
      <c r="H15" s="98"/>
      <c r="I15" s="98"/>
      <c r="J15" s="101"/>
      <c r="K15" s="46"/>
      <c r="L15" s="46"/>
    </row>
    <row r="16" spans="1:12" ht="12.75" hidden="1">
      <c r="A16" s="104"/>
      <c r="B16" s="98"/>
      <c r="C16" s="66"/>
      <c r="D16" s="64"/>
      <c r="E16" s="67"/>
      <c r="F16" s="70" t="s">
        <v>9</v>
      </c>
      <c r="G16" s="71" t="s">
        <v>10</v>
      </c>
      <c r="H16" s="98"/>
      <c r="I16" s="98"/>
      <c r="J16" s="101"/>
      <c r="K16" s="46"/>
      <c r="L16" s="46"/>
    </row>
    <row r="17" spans="1:12" ht="12.75" hidden="1">
      <c r="A17" s="105" t="s">
        <v>11</v>
      </c>
      <c r="B17" s="98"/>
      <c r="C17" s="106" t="s">
        <v>12</v>
      </c>
      <c r="D17" s="107">
        <v>36935</v>
      </c>
      <c r="E17" s="72" t="s">
        <v>13</v>
      </c>
      <c r="F17" s="73"/>
      <c r="G17" s="74"/>
      <c r="H17" s="98"/>
      <c r="I17" s="98"/>
      <c r="J17" s="101"/>
      <c r="K17" s="46"/>
      <c r="L17" s="46"/>
    </row>
    <row r="18" spans="1:12" ht="12.75" hidden="1">
      <c r="A18" s="108" t="s">
        <v>14</v>
      </c>
      <c r="B18" s="109"/>
      <c r="C18" s="75">
        <v>0.0575</v>
      </c>
      <c r="D18" s="75">
        <v>0.05</v>
      </c>
      <c r="E18" s="76">
        <f>D18</f>
        <v>0.05</v>
      </c>
      <c r="F18" s="73">
        <f>(1+$E18)^(1/$F$15)-1</f>
        <v>0.0040741237836483535</v>
      </c>
      <c r="G18" s="73">
        <f>(1+$E18)^(1/$G$15)-1</f>
        <v>0.012272234429039353</v>
      </c>
      <c r="H18" s="98"/>
      <c r="I18" s="98"/>
      <c r="J18" s="101"/>
      <c r="K18" s="46"/>
      <c r="L18" s="46"/>
    </row>
    <row r="19" spans="1:12" ht="12.75" hidden="1">
      <c r="A19" s="108" t="s">
        <v>15</v>
      </c>
      <c r="B19" s="109"/>
      <c r="C19" s="75">
        <v>0.065</v>
      </c>
      <c r="D19" s="75">
        <v>0.06</v>
      </c>
      <c r="E19" s="76">
        <f>D19</f>
        <v>0.06</v>
      </c>
      <c r="F19" s="73">
        <f>(1+$E19)^(1/$F$15)-1</f>
        <v>0.004867550565343048</v>
      </c>
      <c r="G19" s="73">
        <f>(1+$E19)^(1/$G$15)-1</f>
        <v>0.0146738461686593</v>
      </c>
      <c r="H19" s="98"/>
      <c r="I19" s="98"/>
      <c r="J19" s="101"/>
      <c r="K19" s="46"/>
      <c r="L19" s="46"/>
    </row>
    <row r="20" spans="1:12" ht="13.5" hidden="1" thickBot="1">
      <c r="A20" s="110" t="s">
        <v>16</v>
      </c>
      <c r="B20" s="109"/>
      <c r="C20" s="75">
        <v>0.05</v>
      </c>
      <c r="D20" s="75">
        <v>0.045</v>
      </c>
      <c r="E20" s="77">
        <v>0.0315</v>
      </c>
      <c r="F20" s="78">
        <f>(1+$E20)^(1/$F$15)-1</f>
        <v>0.002587847171547919</v>
      </c>
      <c r="G20" s="78">
        <f>(1+$E20)^(1/$G$15)-1</f>
        <v>0.00778364970428469</v>
      </c>
      <c r="H20" s="98"/>
      <c r="I20" s="98"/>
      <c r="J20" s="101"/>
      <c r="K20" s="46"/>
      <c r="L20" s="46"/>
    </row>
    <row r="21" spans="1:12" ht="10.5" hidden="1">
      <c r="A21" s="104"/>
      <c r="B21" s="98"/>
      <c r="C21" s="98"/>
      <c r="D21" s="98"/>
      <c r="E21" s="98"/>
      <c r="F21" s="98"/>
      <c r="G21" s="98"/>
      <c r="H21" s="98"/>
      <c r="I21" s="98"/>
      <c r="J21" s="101"/>
      <c r="K21" s="46"/>
      <c r="L21" s="46"/>
    </row>
    <row r="22" spans="1:12" ht="12">
      <c r="A22" s="104"/>
      <c r="B22" s="98"/>
      <c r="C22" s="98"/>
      <c r="D22" s="98"/>
      <c r="E22" s="98"/>
      <c r="F22" s="98"/>
      <c r="G22" s="98"/>
      <c r="H22" s="98"/>
      <c r="I22" s="98"/>
      <c r="J22" s="101"/>
      <c r="K22" s="46"/>
      <c r="L22" s="46"/>
    </row>
    <row r="23" spans="1:12" ht="12">
      <c r="A23" s="104"/>
      <c r="B23" s="98"/>
      <c r="C23" s="98"/>
      <c r="D23" s="98"/>
      <c r="E23" s="98"/>
      <c r="F23" s="98"/>
      <c r="G23" s="98"/>
      <c r="H23" s="98"/>
      <c r="I23" s="98"/>
      <c r="J23" s="101"/>
      <c r="K23" s="46"/>
      <c r="L23" s="46"/>
    </row>
    <row r="24" spans="1:14" ht="12.75">
      <c r="A24" s="104"/>
      <c r="B24" s="111">
        <v>1999</v>
      </c>
      <c r="C24" s="112">
        <v>2000</v>
      </c>
      <c r="D24" s="112">
        <v>2001</v>
      </c>
      <c r="E24" s="112">
        <v>2002</v>
      </c>
      <c r="F24" s="112">
        <v>2003</v>
      </c>
      <c r="G24" s="112">
        <v>2004</v>
      </c>
      <c r="H24" s="112">
        <v>2005</v>
      </c>
      <c r="I24" s="112">
        <v>2006</v>
      </c>
      <c r="J24" s="113">
        <v>2007</v>
      </c>
      <c r="K24" s="79"/>
      <c r="L24" s="79"/>
      <c r="M24" s="6"/>
      <c r="N24" s="6"/>
    </row>
    <row r="25" spans="1:12" ht="10.5" hidden="1">
      <c r="A25" s="104" t="s">
        <v>17</v>
      </c>
      <c r="B25" s="111"/>
      <c r="C25" s="111"/>
      <c r="D25" s="111"/>
      <c r="E25" s="111"/>
      <c r="F25" s="111"/>
      <c r="G25" s="111"/>
      <c r="H25" s="111"/>
      <c r="I25" s="111"/>
      <c r="J25" s="101"/>
      <c r="K25" s="46"/>
      <c r="L25" s="46"/>
    </row>
    <row r="26" spans="1:12" ht="10.5" hidden="1">
      <c r="A26" s="114" t="s">
        <v>18</v>
      </c>
      <c r="B26" s="115">
        <v>14501077</v>
      </c>
      <c r="C26" s="115">
        <v>14096766</v>
      </c>
      <c r="D26" s="115">
        <v>13811667</v>
      </c>
      <c r="E26" s="115">
        <v>8156520</v>
      </c>
      <c r="F26" s="115">
        <v>3958768</v>
      </c>
      <c r="G26" s="115">
        <v>3961426</v>
      </c>
      <c r="H26" s="115">
        <v>3980000</v>
      </c>
      <c r="I26" s="115"/>
      <c r="J26" s="101"/>
      <c r="K26" s="46"/>
      <c r="L26" s="46"/>
    </row>
    <row r="27" spans="1:12" ht="10.5" hidden="1">
      <c r="A27" s="114" t="s">
        <v>19</v>
      </c>
      <c r="B27" s="116">
        <v>4497892</v>
      </c>
      <c r="C27" s="116">
        <v>5435593</v>
      </c>
      <c r="D27" s="116">
        <v>5429787</v>
      </c>
      <c r="E27" s="116">
        <v>5302588</v>
      </c>
      <c r="F27" s="116">
        <v>5267099.696737678</v>
      </c>
      <c r="G27" s="116">
        <v>2270708.1314012976</v>
      </c>
      <c r="H27" s="116">
        <v>1847027.2469444862</v>
      </c>
      <c r="I27" s="116"/>
      <c r="J27" s="101"/>
      <c r="K27" s="46"/>
      <c r="L27" s="46"/>
    </row>
    <row r="28" spans="1:12" ht="10.5" hidden="1">
      <c r="A28" s="114" t="s">
        <v>20</v>
      </c>
      <c r="B28" s="9">
        <f>SUM(B26:B27)</f>
        <v>18998969</v>
      </c>
      <c r="C28" s="9">
        <f aca="true" t="shared" si="0" ref="C28:H28">SUM(C26:C27)</f>
        <v>19532359</v>
      </c>
      <c r="D28" s="9">
        <f t="shared" si="0"/>
        <v>19241454</v>
      </c>
      <c r="E28" s="9">
        <f t="shared" si="0"/>
        <v>13459108</v>
      </c>
      <c r="F28" s="9">
        <f t="shared" si="0"/>
        <v>9225867.696737677</v>
      </c>
      <c r="G28" s="9">
        <f t="shared" si="0"/>
        <v>6232134.131401298</v>
      </c>
      <c r="H28" s="9">
        <f t="shared" si="0"/>
        <v>5827027.246944486</v>
      </c>
      <c r="I28" s="9"/>
      <c r="J28" s="101"/>
      <c r="K28" s="46"/>
      <c r="L28" s="46"/>
    </row>
    <row r="29" spans="1:12" ht="10.5" hidden="1">
      <c r="A29" s="104"/>
      <c r="B29" s="9"/>
      <c r="C29" s="9"/>
      <c r="D29" s="9"/>
      <c r="E29" s="9"/>
      <c r="F29" s="9"/>
      <c r="G29" s="9"/>
      <c r="H29" s="9"/>
      <c r="I29" s="9"/>
      <c r="J29" s="101"/>
      <c r="K29" s="46"/>
      <c r="L29" s="46"/>
    </row>
    <row r="30" spans="1:12" ht="10.5" hidden="1">
      <c r="A30" s="117" t="s">
        <v>21</v>
      </c>
      <c r="B30" s="9"/>
      <c r="C30" s="9"/>
      <c r="D30" s="9"/>
      <c r="E30" s="9"/>
      <c r="F30" s="9"/>
      <c r="G30" s="9"/>
      <c r="H30" s="9"/>
      <c r="I30" s="9"/>
      <c r="J30" s="101"/>
      <c r="K30" s="46"/>
      <c r="L30" s="46"/>
    </row>
    <row r="31" spans="1:12" ht="10.5" hidden="1">
      <c r="A31" s="114" t="s">
        <v>18</v>
      </c>
      <c r="B31" s="9" t="e">
        <f>#REF!</f>
        <v>#REF!</v>
      </c>
      <c r="C31" s="9" t="e">
        <f>#REF!</f>
        <v>#REF!</v>
      </c>
      <c r="D31" s="9" t="e">
        <f>#REF!</f>
        <v>#REF!</v>
      </c>
      <c r="E31" s="9" t="e">
        <f>#REF!</f>
        <v>#REF!</v>
      </c>
      <c r="F31" s="9" t="e">
        <f>#REF!</f>
        <v>#REF!</v>
      </c>
      <c r="G31" s="9" t="e">
        <f>#REF!</f>
        <v>#REF!</v>
      </c>
      <c r="H31" s="9" t="e">
        <f>#REF!</f>
        <v>#REF!</v>
      </c>
      <c r="I31" s="9"/>
      <c r="J31" s="101"/>
      <c r="K31" s="46"/>
      <c r="L31" s="46"/>
    </row>
    <row r="32" spans="1:12" ht="10.5" hidden="1">
      <c r="A32" s="114" t="s">
        <v>19</v>
      </c>
      <c r="B32" s="9" t="e">
        <f>#REF!</f>
        <v>#REF!</v>
      </c>
      <c r="C32" s="9" t="e">
        <f>#REF!</f>
        <v>#REF!</v>
      </c>
      <c r="D32" s="9" t="e">
        <f>#REF!</f>
        <v>#REF!</v>
      </c>
      <c r="E32" s="9" t="e">
        <f>#REF!</f>
        <v>#REF!</v>
      </c>
      <c r="F32" s="9" t="e">
        <f>#REF!</f>
        <v>#REF!</v>
      </c>
      <c r="G32" s="9" t="e">
        <f>#REF!</f>
        <v>#REF!</v>
      </c>
      <c r="H32" s="9" t="e">
        <f>#REF!</f>
        <v>#REF!</v>
      </c>
      <c r="I32" s="9"/>
      <c r="J32" s="101"/>
      <c r="K32" s="46"/>
      <c r="L32" s="46"/>
    </row>
    <row r="33" spans="1:12" ht="10.5" hidden="1">
      <c r="A33" s="114" t="s">
        <v>20</v>
      </c>
      <c r="B33" s="9" t="e">
        <f aca="true" t="shared" si="1" ref="B33:H33">SUM(B31:B32)</f>
        <v>#REF!</v>
      </c>
      <c r="C33" s="9" t="e">
        <f t="shared" si="1"/>
        <v>#REF!</v>
      </c>
      <c r="D33" s="9" t="e">
        <f t="shared" si="1"/>
        <v>#REF!</v>
      </c>
      <c r="E33" s="9" t="e">
        <f t="shared" si="1"/>
        <v>#REF!</v>
      </c>
      <c r="F33" s="9" t="e">
        <f t="shared" si="1"/>
        <v>#REF!</v>
      </c>
      <c r="G33" s="9" t="e">
        <f t="shared" si="1"/>
        <v>#REF!</v>
      </c>
      <c r="H33" s="9" t="e">
        <f t="shared" si="1"/>
        <v>#REF!</v>
      </c>
      <c r="I33" s="9"/>
      <c r="J33" s="101"/>
      <c r="K33" s="46"/>
      <c r="L33" s="46"/>
    </row>
    <row r="34" spans="1:12" ht="10.5" hidden="1">
      <c r="A34" s="104"/>
      <c r="B34" s="9"/>
      <c r="C34" s="9"/>
      <c r="D34" s="9"/>
      <c r="E34" s="9"/>
      <c r="F34" s="9"/>
      <c r="G34" s="9"/>
      <c r="H34" s="9"/>
      <c r="I34" s="9"/>
      <c r="J34" s="101"/>
      <c r="K34" s="46"/>
      <c r="L34" s="46"/>
    </row>
    <row r="35" spans="1:12" ht="10.5" hidden="1">
      <c r="A35" s="114" t="s">
        <v>22</v>
      </c>
      <c r="B35" s="9" t="e">
        <f aca="true" t="shared" si="2" ref="B35:H35">B31-B26</f>
        <v>#REF!</v>
      </c>
      <c r="C35" s="9" t="e">
        <f t="shared" si="2"/>
        <v>#REF!</v>
      </c>
      <c r="D35" s="9" t="e">
        <f t="shared" si="2"/>
        <v>#REF!</v>
      </c>
      <c r="E35" s="9" t="e">
        <f t="shared" si="2"/>
        <v>#REF!</v>
      </c>
      <c r="F35" s="9" t="e">
        <f t="shared" si="2"/>
        <v>#REF!</v>
      </c>
      <c r="G35" s="9" t="e">
        <f t="shared" si="2"/>
        <v>#REF!</v>
      </c>
      <c r="H35" s="9" t="e">
        <f t="shared" si="2"/>
        <v>#REF!</v>
      </c>
      <c r="I35" s="9"/>
      <c r="J35" s="101"/>
      <c r="K35" s="46"/>
      <c r="L35" s="46"/>
    </row>
    <row r="36" spans="1:45" s="2" customFormat="1" ht="24.75" customHeight="1" hidden="1">
      <c r="A36" s="118" t="s">
        <v>23</v>
      </c>
      <c r="B36" s="81" t="e">
        <f>B31+B32</f>
        <v>#REF!</v>
      </c>
      <c r="C36" s="81">
        <v>19532359</v>
      </c>
      <c r="D36" s="81" t="e">
        <f>D33</f>
        <v>#REF!</v>
      </c>
      <c r="E36" s="81" t="e">
        <f>E33</f>
        <v>#REF!</v>
      </c>
      <c r="F36" s="81" t="e">
        <f>F33</f>
        <v>#REF!</v>
      </c>
      <c r="G36" s="81" t="e">
        <f>G33</f>
        <v>#REF!</v>
      </c>
      <c r="H36" s="81" t="e">
        <f>H33</f>
        <v>#REF!</v>
      </c>
      <c r="I36" s="82"/>
      <c r="J36" s="119"/>
      <c r="K36" s="35"/>
      <c r="L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4.75" customHeight="1">
      <c r="A37" s="120"/>
      <c r="B37" s="82"/>
      <c r="C37" s="82"/>
      <c r="D37" s="82"/>
      <c r="E37" s="82"/>
      <c r="F37" s="82"/>
      <c r="G37" s="82"/>
      <c r="H37" s="82"/>
      <c r="I37" s="82"/>
      <c r="J37" s="121"/>
      <c r="K37" s="82"/>
      <c r="L37" s="82"/>
      <c r="M37" s="8"/>
      <c r="N37" s="8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12">
      <c r="A38" s="117"/>
      <c r="B38" s="82"/>
      <c r="C38" s="82"/>
      <c r="D38" s="82"/>
      <c r="E38" s="82"/>
      <c r="F38" s="82"/>
      <c r="G38" s="82"/>
      <c r="H38" s="82"/>
      <c r="I38" s="82"/>
      <c r="J38" s="121"/>
      <c r="K38" s="82"/>
      <c r="L38" s="82"/>
      <c r="M38" s="8"/>
      <c r="N38" s="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12">
      <c r="A39" s="114" t="s">
        <v>18</v>
      </c>
      <c r="B39" s="98"/>
      <c r="C39" s="9">
        <v>13489056</v>
      </c>
      <c r="D39" s="9">
        <v>13442564</v>
      </c>
      <c r="E39" s="9">
        <v>7881780</v>
      </c>
      <c r="F39" s="9">
        <v>7834360</v>
      </c>
      <c r="G39" s="9">
        <v>7105924</v>
      </c>
      <c r="H39" s="9">
        <v>7129259</v>
      </c>
      <c r="I39" s="9">
        <v>7130500</v>
      </c>
      <c r="J39" s="121">
        <f>I39</f>
        <v>7130500</v>
      </c>
      <c r="K39" s="83"/>
      <c r="L39" s="83"/>
      <c r="M39" s="10"/>
      <c r="N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12">
      <c r="A40" s="114" t="s">
        <v>19</v>
      </c>
      <c r="B40" s="98"/>
      <c r="C40" s="9">
        <v>5745110</v>
      </c>
      <c r="D40" s="9">
        <v>5738770</v>
      </c>
      <c r="E40" s="9">
        <v>5611602</v>
      </c>
      <c r="F40" s="9">
        <v>5579033</v>
      </c>
      <c r="G40" s="9">
        <v>3079217</v>
      </c>
      <c r="H40" s="9">
        <v>2660123</v>
      </c>
      <c r="I40" s="9">
        <v>2653870</v>
      </c>
      <c r="J40" s="121">
        <f>I40</f>
        <v>2653870</v>
      </c>
      <c r="K40" s="83"/>
      <c r="L40" s="83"/>
      <c r="M40" s="10"/>
      <c r="N40" s="1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12">
      <c r="A41" s="114"/>
      <c r="B41" s="98"/>
      <c r="C41" s="9">
        <f aca="true" t="shared" si="3" ref="C41:J41">SUM(C39:C40)</f>
        <v>19234166</v>
      </c>
      <c r="D41" s="9">
        <f t="shared" si="3"/>
        <v>19181334</v>
      </c>
      <c r="E41" s="9">
        <f t="shared" si="3"/>
        <v>13493382</v>
      </c>
      <c r="F41" s="9">
        <f t="shared" si="3"/>
        <v>13413393</v>
      </c>
      <c r="G41" s="9">
        <f t="shared" si="3"/>
        <v>10185141</v>
      </c>
      <c r="H41" s="9">
        <f t="shared" si="3"/>
        <v>9789382</v>
      </c>
      <c r="I41" s="9">
        <f t="shared" si="3"/>
        <v>9784370</v>
      </c>
      <c r="J41" s="122">
        <f t="shared" si="3"/>
        <v>9784370</v>
      </c>
      <c r="K41" s="80"/>
      <c r="L41" s="80"/>
      <c r="M41" s="11"/>
      <c r="N41" s="1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12">
      <c r="A42" s="120"/>
      <c r="B42" s="82"/>
      <c r="C42" s="82"/>
      <c r="D42" s="82"/>
      <c r="E42" s="82"/>
      <c r="F42" s="82"/>
      <c r="G42" s="82"/>
      <c r="H42" s="82"/>
      <c r="I42" s="82"/>
      <c r="J42" s="121"/>
      <c r="K42" s="82"/>
      <c r="L42" s="82"/>
      <c r="M42" s="8"/>
      <c r="N42" s="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10.5" hidden="1">
      <c r="A43" s="120"/>
      <c r="B43" s="82"/>
      <c r="C43" s="82">
        <f aca="true" t="shared" si="4" ref="C43:H43">C41-C36</f>
        <v>-298193</v>
      </c>
      <c r="D43" s="82" t="e">
        <f t="shared" si="4"/>
        <v>#REF!</v>
      </c>
      <c r="E43" s="82" t="e">
        <f t="shared" si="4"/>
        <v>#REF!</v>
      </c>
      <c r="F43" s="82" t="e">
        <f t="shared" si="4"/>
        <v>#REF!</v>
      </c>
      <c r="G43" s="82" t="e">
        <f t="shared" si="4"/>
        <v>#REF!</v>
      </c>
      <c r="H43" s="82" t="e">
        <f t="shared" si="4"/>
        <v>#REF!</v>
      </c>
      <c r="I43" s="82"/>
      <c r="J43" s="121"/>
      <c r="K43" s="82"/>
      <c r="L43" s="82"/>
      <c r="M43" s="8"/>
      <c r="N43" s="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10.5" hidden="1">
      <c r="A44" s="120"/>
      <c r="B44" s="82"/>
      <c r="C44" s="82"/>
      <c r="D44" s="82"/>
      <c r="E44" s="82"/>
      <c r="F44" s="82"/>
      <c r="G44" s="82"/>
      <c r="H44" s="82"/>
      <c r="I44" s="82"/>
      <c r="J44" s="121"/>
      <c r="K44" s="82"/>
      <c r="L44" s="82"/>
      <c r="M44" s="8"/>
      <c r="N44" s="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11.25" hidden="1" thickBot="1">
      <c r="A45" s="120"/>
      <c r="B45" s="82"/>
      <c r="C45" s="82"/>
      <c r="D45" s="82"/>
      <c r="E45" s="82"/>
      <c r="F45" s="82"/>
      <c r="G45" s="82"/>
      <c r="H45" s="82"/>
      <c r="I45" s="82"/>
      <c r="J45" s="121"/>
      <c r="K45" s="82"/>
      <c r="L45" s="82"/>
      <c r="M45" s="8"/>
      <c r="N45" s="8"/>
      <c r="O45" s="12" t="s">
        <v>24</v>
      </c>
      <c r="P45" s="13"/>
      <c r="Q45" s="13"/>
      <c r="R45" s="13"/>
      <c r="S45" s="1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11.25" hidden="1" thickBot="1">
      <c r="A46" s="123" t="s">
        <v>25</v>
      </c>
      <c r="B46" s="82"/>
      <c r="C46" s="82"/>
      <c r="D46" s="82"/>
      <c r="E46" s="82"/>
      <c r="F46" s="82"/>
      <c r="G46" s="82"/>
      <c r="H46" s="82"/>
      <c r="I46" s="82"/>
      <c r="J46" s="121"/>
      <c r="K46" s="82"/>
      <c r="L46" s="82"/>
      <c r="M46" s="8"/>
      <c r="N46" s="8"/>
      <c r="O46" s="15" t="s">
        <v>26</v>
      </c>
      <c r="P46" s="16"/>
      <c r="Q46" s="17"/>
      <c r="R46" s="15" t="s">
        <v>27</v>
      </c>
      <c r="S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20" ht="10.5" hidden="1">
      <c r="A47" s="104"/>
      <c r="B47" s="98"/>
      <c r="C47" s="98"/>
      <c r="D47" s="98"/>
      <c r="E47" s="98"/>
      <c r="F47" s="98"/>
      <c r="G47" s="98"/>
      <c r="H47" s="98"/>
      <c r="I47" s="98"/>
      <c r="J47" s="101"/>
      <c r="K47" s="46"/>
      <c r="L47" s="46"/>
      <c r="O47" s="18" t="s">
        <v>28</v>
      </c>
      <c r="P47" s="19" t="s">
        <v>29</v>
      </c>
      <c r="Q47" s="20" t="s">
        <v>30</v>
      </c>
      <c r="R47" s="18" t="s">
        <v>28</v>
      </c>
      <c r="S47" s="20" t="s">
        <v>31</v>
      </c>
      <c r="T47" s="21"/>
    </row>
    <row r="48" spans="1:20" ht="12.75" hidden="1">
      <c r="A48" s="117"/>
      <c r="B48" s="98"/>
      <c r="C48" s="98"/>
      <c r="D48" s="98"/>
      <c r="E48" s="98"/>
      <c r="F48" s="98"/>
      <c r="G48" s="98"/>
      <c r="H48" s="98"/>
      <c r="I48" s="98"/>
      <c r="J48" s="101"/>
      <c r="K48" s="46"/>
      <c r="L48" s="46"/>
      <c r="O48" s="22"/>
      <c r="P48" s="23"/>
      <c r="Q48" s="24"/>
      <c r="R48" s="244" t="s">
        <v>32</v>
      </c>
      <c r="S48" s="245"/>
      <c r="T48" s="23"/>
    </row>
    <row r="49" spans="1:28" ht="10.5" hidden="1">
      <c r="A49" s="124" t="s">
        <v>33</v>
      </c>
      <c r="B49" s="125"/>
      <c r="C49" s="125"/>
      <c r="D49" s="125"/>
      <c r="E49" s="125"/>
      <c r="F49" s="125"/>
      <c r="G49" s="125">
        <f>'[1]Borrowing Summary'!E12</f>
        <v>6609000</v>
      </c>
      <c r="H49" s="125">
        <f aca="true" t="shared" si="5" ref="H49:J50">G49</f>
        <v>6609000</v>
      </c>
      <c r="I49" s="125">
        <f t="shared" si="5"/>
        <v>6609000</v>
      </c>
      <c r="J49" s="126">
        <f t="shared" si="5"/>
        <v>6609000</v>
      </c>
      <c r="K49" s="48"/>
      <c r="L49" s="48"/>
      <c r="M49" s="25"/>
      <c r="N49" s="25"/>
      <c r="O49" s="26">
        <f>'[1]Borrowing Summary'!D12</f>
        <v>82950000</v>
      </c>
      <c r="P49" s="27">
        <v>20</v>
      </c>
      <c r="Q49" s="28">
        <f>$E$18</f>
        <v>0.05</v>
      </c>
      <c r="R49" s="29">
        <v>90.45</v>
      </c>
      <c r="S49" s="30">
        <f>R49-(O49/1000000)</f>
        <v>7.5</v>
      </c>
      <c r="T49" s="31"/>
      <c r="U49" s="2" t="s">
        <v>34</v>
      </c>
      <c r="V49" s="2"/>
      <c r="W49" s="2" t="s">
        <v>35</v>
      </c>
      <c r="X49" s="2" t="s">
        <v>35</v>
      </c>
      <c r="Y49" s="2">
        <v>5073846</v>
      </c>
      <c r="Z49" s="2">
        <v>5073846</v>
      </c>
      <c r="AA49" s="2">
        <v>5073846</v>
      </c>
      <c r="AB49" s="2">
        <v>5073846</v>
      </c>
    </row>
    <row r="50" spans="1:28" ht="10.5" hidden="1">
      <c r="A50" s="124" t="s">
        <v>36</v>
      </c>
      <c r="B50" s="125"/>
      <c r="C50" s="125"/>
      <c r="D50" s="125"/>
      <c r="E50" s="125"/>
      <c r="F50" s="125">
        <f>'[3]CX Debt Service Summary Plan'!$F$50</f>
        <v>2406000</v>
      </c>
      <c r="G50" s="125">
        <f>F50</f>
        <v>2406000</v>
      </c>
      <c r="H50" s="125">
        <f t="shared" si="5"/>
        <v>2406000</v>
      </c>
      <c r="I50" s="125">
        <f t="shared" si="5"/>
        <v>2406000</v>
      </c>
      <c r="J50" s="126">
        <f t="shared" si="5"/>
        <v>2406000</v>
      </c>
      <c r="K50" s="48"/>
      <c r="L50" s="48"/>
      <c r="M50" s="25"/>
      <c r="N50" s="25"/>
      <c r="O50" s="26">
        <f>'[1]Borrowing Summary'!D11</f>
        <v>30450000</v>
      </c>
      <c r="P50" s="27">
        <v>20</v>
      </c>
      <c r="Q50" s="28">
        <f aca="true" t="shared" si="6" ref="Q50:Q57">$E$18</f>
        <v>0.05</v>
      </c>
      <c r="R50" s="29">
        <v>28.2</v>
      </c>
      <c r="S50" s="30">
        <f aca="true" t="shared" si="7" ref="S50:S56">R50-(O50/1000000)</f>
        <v>-2.25</v>
      </c>
      <c r="T50" s="31"/>
      <c r="U50" s="2"/>
      <c r="V50" s="2"/>
      <c r="W50" s="2"/>
      <c r="X50" s="2">
        <v>937980</v>
      </c>
      <c r="Y50" s="2">
        <v>937980</v>
      </c>
      <c r="Z50" s="2">
        <v>937980</v>
      </c>
      <c r="AA50" s="2">
        <v>937980</v>
      </c>
      <c r="AB50" s="2">
        <v>937980</v>
      </c>
    </row>
    <row r="51" spans="1:28" ht="11.25" hidden="1" thickBot="1">
      <c r="A51" s="127" t="s">
        <v>37</v>
      </c>
      <c r="B51" s="125"/>
      <c r="C51" s="125"/>
      <c r="D51" s="125"/>
      <c r="E51" s="125"/>
      <c r="F51" s="125">
        <v>799000</v>
      </c>
      <c r="G51" s="125">
        <v>799000</v>
      </c>
      <c r="H51" s="125">
        <v>799000</v>
      </c>
      <c r="I51" s="84"/>
      <c r="J51" s="85"/>
      <c r="K51" s="86"/>
      <c r="L51" s="86"/>
      <c r="M51" s="33"/>
      <c r="N51" s="33"/>
      <c r="O51" s="26">
        <f>'[1]FSRP Allowance'!D15</f>
        <v>28310000</v>
      </c>
      <c r="P51" s="27">
        <v>3</v>
      </c>
      <c r="Q51" s="28">
        <f t="shared" si="6"/>
        <v>0.05</v>
      </c>
      <c r="R51" s="29">
        <v>28.3</v>
      </c>
      <c r="S51" s="30">
        <f t="shared" si="7"/>
        <v>-0.00999999999999801</v>
      </c>
      <c r="T51" s="31"/>
      <c r="U51" s="2" t="s">
        <v>38</v>
      </c>
      <c r="V51" s="2"/>
      <c r="W51" s="2" t="s">
        <v>35</v>
      </c>
      <c r="X51" s="2">
        <v>1196696</v>
      </c>
      <c r="Y51" s="2">
        <v>1196696</v>
      </c>
      <c r="Z51" s="2">
        <v>1196696</v>
      </c>
      <c r="AA51" s="2">
        <v>1196696</v>
      </c>
      <c r="AB51" s="2">
        <v>1196696</v>
      </c>
    </row>
    <row r="52" spans="1:28" ht="12.75" hidden="1">
      <c r="A52" s="124" t="s">
        <v>39</v>
      </c>
      <c r="B52" s="125"/>
      <c r="C52" s="125"/>
      <c r="D52" s="125"/>
      <c r="E52" s="125"/>
      <c r="F52" s="125"/>
      <c r="G52" s="98"/>
      <c r="H52" s="128">
        <f>421200*(1.03)^5</f>
        <v>488286.2400951599</v>
      </c>
      <c r="I52" s="128">
        <f>H52</f>
        <v>488286.2400951599</v>
      </c>
      <c r="J52" s="129">
        <f>I52</f>
        <v>488286.2400951599</v>
      </c>
      <c r="K52" s="87"/>
      <c r="L52" s="87"/>
      <c r="M52" s="34"/>
      <c r="N52" s="34"/>
      <c r="O52" s="26">
        <v>3770000</v>
      </c>
      <c r="P52" s="27">
        <v>10</v>
      </c>
      <c r="Q52" s="28">
        <f t="shared" si="6"/>
        <v>0.05</v>
      </c>
      <c r="R52" s="29">
        <v>3.8</v>
      </c>
      <c r="S52" s="30">
        <f t="shared" si="7"/>
        <v>0.029999999999999805</v>
      </c>
      <c r="T52" s="31"/>
      <c r="U52" s="2" t="s">
        <v>40</v>
      </c>
      <c r="V52" s="2"/>
      <c r="W52" s="35"/>
      <c r="X52" s="2"/>
      <c r="Y52" s="2" t="s">
        <v>35</v>
      </c>
      <c r="Z52" s="2"/>
      <c r="AA52" s="2"/>
      <c r="AB52" s="2">
        <v>1026883</v>
      </c>
    </row>
    <row r="53" spans="1:28" ht="10.5" hidden="1">
      <c r="A53" s="124" t="s">
        <v>41</v>
      </c>
      <c r="B53" s="125"/>
      <c r="C53" s="125"/>
      <c r="D53" s="125">
        <v>262000</v>
      </c>
      <c r="E53" s="125">
        <v>262000</v>
      </c>
      <c r="F53" s="125">
        <v>262000</v>
      </c>
      <c r="G53" s="125">
        <v>262000</v>
      </c>
      <c r="H53" s="125">
        <v>262000</v>
      </c>
      <c r="I53" s="125"/>
      <c r="J53" s="101"/>
      <c r="K53" s="46"/>
      <c r="L53" s="46"/>
      <c r="O53" s="26"/>
      <c r="P53" s="27"/>
      <c r="Q53" s="28">
        <f t="shared" si="6"/>
        <v>0.05</v>
      </c>
      <c r="R53" s="29"/>
      <c r="S53" s="30">
        <f t="shared" si="7"/>
        <v>0</v>
      </c>
      <c r="T53" s="31"/>
      <c r="U53" s="2"/>
      <c r="V53" s="2"/>
      <c r="W53" s="35"/>
      <c r="X53" s="2">
        <v>262000</v>
      </c>
      <c r="Y53" s="2">
        <v>262000</v>
      </c>
      <c r="Z53" s="2">
        <v>262000</v>
      </c>
      <c r="AA53" s="2">
        <v>262000</v>
      </c>
      <c r="AB53" s="2">
        <v>262000</v>
      </c>
    </row>
    <row r="54" spans="1:28" ht="10.5" hidden="1">
      <c r="A54" s="124" t="s">
        <v>42</v>
      </c>
      <c r="B54" s="125"/>
      <c r="C54" s="125"/>
      <c r="D54" s="125">
        <f>-D53</f>
        <v>-262000</v>
      </c>
      <c r="E54" s="125">
        <f>-E53</f>
        <v>-262000</v>
      </c>
      <c r="F54" s="125">
        <f>-F53</f>
        <v>-262000</v>
      </c>
      <c r="G54" s="125">
        <f>-G53</f>
        <v>-262000</v>
      </c>
      <c r="H54" s="125">
        <f>-H53</f>
        <v>-262000</v>
      </c>
      <c r="I54" s="125"/>
      <c r="J54" s="101"/>
      <c r="K54" s="46"/>
      <c r="L54" s="46"/>
      <c r="O54" s="26"/>
      <c r="P54" s="27"/>
      <c r="Q54" s="28">
        <f t="shared" si="6"/>
        <v>0.05</v>
      </c>
      <c r="R54" s="29"/>
      <c r="S54" s="30">
        <f t="shared" si="7"/>
        <v>0</v>
      </c>
      <c r="T54" s="31"/>
      <c r="U54" s="2" t="s">
        <v>43</v>
      </c>
      <c r="V54" s="2"/>
      <c r="W54" s="35"/>
      <c r="X54" s="2"/>
      <c r="Y54" s="2"/>
      <c r="Z54" s="2"/>
      <c r="AA54" s="2"/>
      <c r="AB54" s="2"/>
    </row>
    <row r="55" spans="1:28" ht="10.5" hidden="1">
      <c r="A55" s="124" t="s">
        <v>44</v>
      </c>
      <c r="B55" s="125"/>
      <c r="C55" s="125"/>
      <c r="D55" s="125"/>
      <c r="E55" s="125"/>
      <c r="F55" s="125"/>
      <c r="G55" s="125">
        <f>'[3]CX Debt Service Summary Plan'!$G$55</f>
        <v>1724000</v>
      </c>
      <c r="H55" s="125">
        <f>G55</f>
        <v>1724000</v>
      </c>
      <c r="I55" s="125">
        <f>H55</f>
        <v>1724000</v>
      </c>
      <c r="J55" s="126">
        <f>I55</f>
        <v>1724000</v>
      </c>
      <c r="K55" s="48"/>
      <c r="L55" s="48"/>
      <c r="M55" s="25"/>
      <c r="N55" s="25"/>
      <c r="O55" s="26">
        <f>'[1]Borrowing Summary'!D13</f>
        <v>21640000</v>
      </c>
      <c r="P55" s="27">
        <v>20</v>
      </c>
      <c r="Q55" s="28">
        <f t="shared" si="6"/>
        <v>0.05</v>
      </c>
      <c r="R55" s="29">
        <v>2.64</v>
      </c>
      <c r="S55" s="30">
        <f t="shared" si="7"/>
        <v>-19</v>
      </c>
      <c r="T55" s="31"/>
      <c r="U55" s="2" t="s">
        <v>45</v>
      </c>
      <c r="V55" s="2"/>
      <c r="W55" s="2"/>
      <c r="X55" s="2"/>
      <c r="Y55" s="2"/>
      <c r="Z55" s="2"/>
      <c r="AA55" s="2"/>
      <c r="AB55" s="2"/>
    </row>
    <row r="56" spans="1:28" ht="11.25" hidden="1" thickBot="1">
      <c r="A56" s="124" t="s">
        <v>46</v>
      </c>
      <c r="B56" s="125"/>
      <c r="C56" s="125"/>
      <c r="D56" s="125"/>
      <c r="E56" s="125"/>
      <c r="F56" s="125"/>
      <c r="G56" s="125"/>
      <c r="H56" s="125">
        <f>'[3]CX Debt Service Summary Plan'!$H$56</f>
        <v>810500</v>
      </c>
      <c r="I56" s="125">
        <f>'[3]CX Debt Service Summary Plan'!$I$56</f>
        <v>1621000</v>
      </c>
      <c r="J56" s="126">
        <f>I56</f>
        <v>1621000</v>
      </c>
      <c r="K56" s="48"/>
      <c r="L56" s="48"/>
      <c r="M56" s="25"/>
      <c r="N56" s="25"/>
      <c r="O56" s="36">
        <f>'[3]Borrowing Summary'!$D$14</f>
        <v>20350000</v>
      </c>
      <c r="P56" s="37">
        <v>20</v>
      </c>
      <c r="Q56" s="38">
        <f t="shared" si="6"/>
        <v>0.05</v>
      </c>
      <c r="R56" s="39">
        <v>16.35</v>
      </c>
      <c r="S56" s="40">
        <f t="shared" si="7"/>
        <v>-4</v>
      </c>
      <c r="T56" s="31"/>
      <c r="U56" s="2" t="s">
        <v>47</v>
      </c>
      <c r="V56" s="2"/>
      <c r="W56" s="2"/>
      <c r="X56" s="2"/>
      <c r="Y56" s="2"/>
      <c r="Z56" s="2"/>
      <c r="AA56" s="2"/>
      <c r="AB56" s="2"/>
    </row>
    <row r="57" spans="1:20" ht="11.25" hidden="1" thickBot="1">
      <c r="A57" s="84" t="s">
        <v>48</v>
      </c>
      <c r="B57" s="88"/>
      <c r="C57" s="88"/>
      <c r="D57" s="88"/>
      <c r="E57" s="88"/>
      <c r="F57" s="88"/>
      <c r="G57" s="89">
        <f>-PMT(Q57,P57,O57)</f>
        <v>0</v>
      </c>
      <c r="H57" s="90">
        <f>G57</f>
        <v>0</v>
      </c>
      <c r="I57" s="90">
        <f>H57</f>
        <v>0</v>
      </c>
      <c r="J57" s="91">
        <f>I57</f>
        <v>0</v>
      </c>
      <c r="K57" s="92"/>
      <c r="L57" s="92"/>
      <c r="M57" s="41"/>
      <c r="N57" s="41"/>
      <c r="O57" s="36"/>
      <c r="P57" s="42">
        <v>20</v>
      </c>
      <c r="Q57" s="38">
        <f t="shared" si="6"/>
        <v>0.05</v>
      </c>
      <c r="R57" s="43"/>
      <c r="S57" s="40"/>
      <c r="T57" s="31"/>
    </row>
    <row r="58" spans="1:28" ht="10.5" hidden="1">
      <c r="A58" s="104"/>
      <c r="B58" s="98"/>
      <c r="C58" s="98"/>
      <c r="D58" s="98"/>
      <c r="E58" s="98"/>
      <c r="F58" s="98"/>
      <c r="G58" s="98"/>
      <c r="H58" s="98"/>
      <c r="I58" s="98"/>
      <c r="J58" s="101"/>
      <c r="K58" s="46"/>
      <c r="L58" s="46"/>
      <c r="R58" s="44"/>
      <c r="S58" s="45"/>
      <c r="W58" s="46"/>
      <c r="X58" s="35"/>
      <c r="Y58" s="46"/>
      <c r="Z58" s="46"/>
      <c r="AA58" s="46"/>
      <c r="AB58" s="46"/>
    </row>
    <row r="59" spans="1:19" ht="10.5" hidden="1">
      <c r="A59" s="130" t="s">
        <v>49</v>
      </c>
      <c r="B59" s="86"/>
      <c r="C59" s="86"/>
      <c r="D59" s="86">
        <f aca="true" t="shared" si="8" ref="D59:J59">SUM(D49:D58)</f>
        <v>0</v>
      </c>
      <c r="E59" s="86">
        <f t="shared" si="8"/>
        <v>0</v>
      </c>
      <c r="F59" s="86">
        <f t="shared" si="8"/>
        <v>3205000</v>
      </c>
      <c r="G59" s="86">
        <f t="shared" si="8"/>
        <v>11538000</v>
      </c>
      <c r="H59" s="86">
        <f t="shared" si="8"/>
        <v>12836786.240095159</v>
      </c>
      <c r="I59" s="86">
        <f t="shared" si="8"/>
        <v>12848286.240095159</v>
      </c>
      <c r="J59" s="126">
        <f t="shared" si="8"/>
        <v>12848286.240095159</v>
      </c>
      <c r="K59" s="48"/>
      <c r="L59" s="48"/>
      <c r="M59" s="47"/>
      <c r="N59" s="47"/>
      <c r="R59" s="45"/>
      <c r="S59" s="45"/>
    </row>
    <row r="60" spans="1:19" ht="10.5" hidden="1">
      <c r="A60" s="131"/>
      <c r="B60" s="98"/>
      <c r="C60" s="98"/>
      <c r="D60" s="86"/>
      <c r="E60" s="86"/>
      <c r="F60" s="86"/>
      <c r="G60" s="86"/>
      <c r="H60" s="86"/>
      <c r="I60" s="86"/>
      <c r="J60" s="101"/>
      <c r="K60" s="46"/>
      <c r="L60" s="46"/>
      <c r="S60" s="45"/>
    </row>
    <row r="61" spans="1:19" ht="10.5" hidden="1">
      <c r="A61" s="130" t="s">
        <v>50</v>
      </c>
      <c r="B61" s="86" t="e">
        <f>B59+B36</f>
        <v>#REF!</v>
      </c>
      <c r="C61" s="86">
        <f aca="true" t="shared" si="9" ref="C61:I61">C59+C41</f>
        <v>19234166</v>
      </c>
      <c r="D61" s="86">
        <f t="shared" si="9"/>
        <v>19181334</v>
      </c>
      <c r="E61" s="86">
        <f t="shared" si="9"/>
        <v>13493382</v>
      </c>
      <c r="F61" s="86">
        <f t="shared" si="9"/>
        <v>16618393</v>
      </c>
      <c r="G61" s="86">
        <f t="shared" si="9"/>
        <v>21723141</v>
      </c>
      <c r="H61" s="86">
        <f t="shared" si="9"/>
        <v>22626168.24009516</v>
      </c>
      <c r="I61" s="86">
        <f t="shared" si="9"/>
        <v>22632656.24009516</v>
      </c>
      <c r="J61" s="126">
        <f>J59+J41</f>
        <v>22632656.24009516</v>
      </c>
      <c r="K61" s="48"/>
      <c r="L61" s="48"/>
      <c r="M61" s="47"/>
      <c r="N61" s="47"/>
      <c r="S61" s="45"/>
    </row>
    <row r="62" spans="1:14" ht="12">
      <c r="A62" s="130"/>
      <c r="B62" s="86"/>
      <c r="C62" s="86"/>
      <c r="D62" s="86"/>
      <c r="E62" s="86"/>
      <c r="F62" s="86"/>
      <c r="G62" s="86"/>
      <c r="H62" s="86"/>
      <c r="I62" s="86"/>
      <c r="J62" s="126"/>
      <c r="K62" s="48"/>
      <c r="L62" s="48"/>
      <c r="M62" s="48"/>
      <c r="N62" s="48"/>
    </row>
    <row r="63" spans="1:14" ht="10.5" hidden="1">
      <c r="A63" s="130"/>
      <c r="B63" s="86"/>
      <c r="C63" s="86"/>
      <c r="D63" s="86"/>
      <c r="E63" s="86"/>
      <c r="F63" s="86"/>
      <c r="G63" s="86"/>
      <c r="H63" s="86"/>
      <c r="I63" s="86"/>
      <c r="J63" s="126"/>
      <c r="K63" s="48"/>
      <c r="L63" s="48"/>
      <c r="M63" s="48"/>
      <c r="N63" s="48"/>
    </row>
    <row r="64" spans="1:14" ht="10.5" hidden="1">
      <c r="A64" s="132" t="s">
        <v>51</v>
      </c>
      <c r="B64" s="23"/>
      <c r="C64" s="23"/>
      <c r="D64" s="133">
        <f>D66/C66-1</f>
        <v>0.031356428951068605</v>
      </c>
      <c r="E64" s="133"/>
      <c r="F64" s="133">
        <f>(F66-E66)/E66</f>
        <v>-0.004316557768078205</v>
      </c>
      <c r="G64" s="133">
        <v>0.02</v>
      </c>
      <c r="H64" s="133">
        <v>0.02</v>
      </c>
      <c r="I64" s="133">
        <v>0.02</v>
      </c>
      <c r="J64" s="134">
        <v>0.02</v>
      </c>
      <c r="K64" s="49"/>
      <c r="L64" s="49"/>
      <c r="M64" s="49"/>
      <c r="N64" s="49"/>
    </row>
    <row r="65" spans="1:10" ht="12.75" thickBot="1">
      <c r="A65" s="132"/>
      <c r="B65" s="23"/>
      <c r="C65" s="23"/>
      <c r="D65" s="133"/>
      <c r="E65" s="133"/>
      <c r="F65" s="133"/>
      <c r="G65" s="133"/>
      <c r="H65" s="133"/>
      <c r="I65" s="133"/>
      <c r="J65" s="24"/>
    </row>
    <row r="66" spans="1:14" ht="20.25" thickBot="1">
      <c r="A66" s="135" t="s">
        <v>52</v>
      </c>
      <c r="B66" s="23"/>
      <c r="C66" s="136">
        <v>391758418</v>
      </c>
      <c r="D66" s="136">
        <v>404042563</v>
      </c>
      <c r="E66" s="50">
        <v>411959273</v>
      </c>
      <c r="F66" s="51">
        <v>410181027</v>
      </c>
      <c r="G66" s="51">
        <f>F66*(1+G64)</f>
        <v>418384647.54</v>
      </c>
      <c r="H66" s="51">
        <f>G66*(1+H64)</f>
        <v>426752340.4908</v>
      </c>
      <c r="I66" s="51">
        <f>H66*(1+I64)</f>
        <v>435287387.300616</v>
      </c>
      <c r="J66" s="32">
        <f>I66*(1+J64)</f>
        <v>443993135.04662836</v>
      </c>
      <c r="K66" s="33"/>
      <c r="L66" s="33"/>
      <c r="M66" s="33"/>
      <c r="N66" s="33"/>
    </row>
    <row r="67" spans="1:14" ht="10.5" hidden="1">
      <c r="A67" s="135"/>
      <c r="B67" s="23"/>
      <c r="C67" s="136"/>
      <c r="D67" s="136"/>
      <c r="E67" s="52"/>
      <c r="F67" s="52"/>
      <c r="G67" s="52"/>
      <c r="H67" s="52"/>
      <c r="I67" s="52"/>
      <c r="J67" s="137"/>
      <c r="K67" s="52"/>
      <c r="L67" s="52"/>
      <c r="M67" s="52"/>
      <c r="N67" s="52"/>
    </row>
    <row r="68" spans="1:14" ht="10.5" hidden="1">
      <c r="A68" s="132" t="s">
        <v>53</v>
      </c>
      <c r="B68" s="23"/>
      <c r="C68" s="133">
        <f aca="true" t="shared" si="10" ref="C68:J68">C61/C66</f>
        <v>0.04909700753386236</v>
      </c>
      <c r="D68" s="133">
        <f t="shared" si="10"/>
        <v>0.04747354797865689</v>
      </c>
      <c r="E68" s="138">
        <f t="shared" si="10"/>
        <v>0.03275416499727632</v>
      </c>
      <c r="F68" s="138">
        <f t="shared" si="10"/>
        <v>0.04051477739364088</v>
      </c>
      <c r="G68" s="138">
        <f t="shared" si="10"/>
        <v>0.0519214582268417</v>
      </c>
      <c r="H68" s="138">
        <f t="shared" si="10"/>
        <v>0.05301943561474841</v>
      </c>
      <c r="I68" s="138">
        <f t="shared" si="10"/>
        <v>0.05199474393331022</v>
      </c>
      <c r="J68" s="139">
        <f t="shared" si="10"/>
        <v>0.050975239150304136</v>
      </c>
      <c r="K68" s="53"/>
      <c r="L68" s="53"/>
      <c r="M68" s="53"/>
      <c r="N68" s="53"/>
    </row>
    <row r="69" spans="1:14" ht="12">
      <c r="A69" s="132"/>
      <c r="B69" s="23"/>
      <c r="C69" s="133"/>
      <c r="D69" s="133"/>
      <c r="E69" s="138"/>
      <c r="F69" s="138"/>
      <c r="G69" s="138"/>
      <c r="H69" s="138"/>
      <c r="I69" s="138"/>
      <c r="J69" s="139"/>
      <c r="K69" s="53"/>
      <c r="L69" s="53"/>
      <c r="M69" s="53"/>
      <c r="N69" s="53"/>
    </row>
    <row r="70" spans="1:15" ht="10.5" hidden="1">
      <c r="A70" s="132" t="s">
        <v>54</v>
      </c>
      <c r="B70" s="23"/>
      <c r="C70" s="133"/>
      <c r="D70" s="133"/>
      <c r="E70" s="138">
        <f>E68</f>
        <v>0.03275416499727632</v>
      </c>
      <c r="F70" s="138">
        <f>F83/F66</f>
        <v>0.03564619530780979</v>
      </c>
      <c r="G70" s="138">
        <f>G83/G66</f>
        <v>0.04068299613783673</v>
      </c>
      <c r="H70" s="138">
        <f>H83/H66</f>
        <v>0.04966151612835043</v>
      </c>
      <c r="I70" s="138">
        <f>I83/I66</f>
        <v>0.05014768834783619</v>
      </c>
      <c r="J70" s="139">
        <f>J83/J66</f>
        <v>0.04727247919698336</v>
      </c>
      <c r="K70" s="53"/>
      <c r="L70" s="53"/>
      <c r="M70" s="53"/>
      <c r="N70" s="53"/>
      <c r="O70" s="54"/>
    </row>
    <row r="71" spans="1:10" ht="12">
      <c r="A71" s="132"/>
      <c r="B71" s="23"/>
      <c r="C71" s="133"/>
      <c r="D71" s="133"/>
      <c r="E71" s="133"/>
      <c r="F71" s="133"/>
      <c r="G71" s="133"/>
      <c r="H71" s="133"/>
      <c r="I71" s="133"/>
      <c r="J71" s="24"/>
    </row>
    <row r="72" spans="1:10" ht="12.75">
      <c r="A72" s="140" t="s">
        <v>55</v>
      </c>
      <c r="B72" s="23"/>
      <c r="C72" s="133"/>
      <c r="D72" s="133"/>
      <c r="E72" s="133"/>
      <c r="F72" s="133"/>
      <c r="G72" s="133"/>
      <c r="H72" s="133"/>
      <c r="I72" s="133"/>
      <c r="J72" s="24"/>
    </row>
    <row r="73" spans="1:10" ht="12">
      <c r="A73" s="141"/>
      <c r="B73" s="23"/>
      <c r="C73" s="23"/>
      <c r="D73" s="133"/>
      <c r="E73" s="133"/>
      <c r="F73" s="133"/>
      <c r="G73" s="133"/>
      <c r="H73" s="133"/>
      <c r="I73" s="133"/>
      <c r="J73" s="24"/>
    </row>
    <row r="74" spans="1:14" ht="12.75">
      <c r="A74" s="142" t="s">
        <v>56</v>
      </c>
      <c r="B74" s="23"/>
      <c r="C74" s="23"/>
      <c r="D74" s="143"/>
      <c r="E74" s="143"/>
      <c r="F74" s="133"/>
      <c r="G74" s="27">
        <f>(H10+H11)/2</f>
        <v>3439000</v>
      </c>
      <c r="H74" s="27">
        <f>G74*2</f>
        <v>6878000</v>
      </c>
      <c r="I74" s="27">
        <f>H74</f>
        <v>6878000</v>
      </c>
      <c r="J74" s="144">
        <f>I74</f>
        <v>6878000</v>
      </c>
      <c r="K74" s="2"/>
      <c r="L74" s="2"/>
      <c r="M74" s="2"/>
      <c r="N74" s="2"/>
    </row>
    <row r="75" spans="1:14" ht="12.75">
      <c r="A75" s="142" t="s">
        <v>4</v>
      </c>
      <c r="B75" s="23"/>
      <c r="C75" s="143"/>
      <c r="D75" s="143"/>
      <c r="E75" s="143"/>
      <c r="F75" s="27">
        <f>H8/2</f>
        <v>1208000</v>
      </c>
      <c r="G75" s="27">
        <f>F75*2</f>
        <v>2416000</v>
      </c>
      <c r="H75" s="27">
        <f>G75</f>
        <v>2416000</v>
      </c>
      <c r="I75" s="27">
        <f>H75</f>
        <v>2416000</v>
      </c>
      <c r="J75" s="144">
        <f>I75</f>
        <v>2416000</v>
      </c>
      <c r="K75" s="2"/>
      <c r="L75" s="2"/>
      <c r="M75" s="2"/>
      <c r="N75" s="2"/>
    </row>
    <row r="76" spans="1:14" ht="12.75">
      <c r="A76" s="145" t="s">
        <v>37</v>
      </c>
      <c r="B76" s="23"/>
      <c r="C76" s="23"/>
      <c r="D76" s="146"/>
      <c r="E76" s="23"/>
      <c r="F76" s="23"/>
      <c r="G76" s="27">
        <f>ROUND(G51*1.05,-4)</f>
        <v>840000</v>
      </c>
      <c r="H76" s="27">
        <f>G76</f>
        <v>840000</v>
      </c>
      <c r="I76" s="27">
        <f>H76</f>
        <v>840000</v>
      </c>
      <c r="J76" s="144"/>
      <c r="K76" s="2"/>
      <c r="L76" s="2"/>
      <c r="M76" s="2"/>
      <c r="N76" s="2"/>
    </row>
    <row r="77" spans="1:14" ht="12.75">
      <c r="A77" s="142" t="s">
        <v>39</v>
      </c>
      <c r="B77" s="23"/>
      <c r="C77" s="23"/>
      <c r="D77" s="23"/>
      <c r="E77" s="23"/>
      <c r="F77" s="23"/>
      <c r="G77" s="23"/>
      <c r="H77" s="27">
        <f>H52</f>
        <v>488286.2400951599</v>
      </c>
      <c r="I77" s="27">
        <f>I52</f>
        <v>488286.2400951599</v>
      </c>
      <c r="J77" s="144">
        <f>J52</f>
        <v>488286.2400951599</v>
      </c>
      <c r="K77" s="2"/>
      <c r="L77" s="2"/>
      <c r="M77" s="2"/>
      <c r="N77" s="2"/>
    </row>
    <row r="78" spans="1:14" ht="12.75">
      <c r="A78" s="142" t="s">
        <v>44</v>
      </c>
      <c r="B78" s="23"/>
      <c r="C78" s="23"/>
      <c r="D78" s="146"/>
      <c r="E78" s="23"/>
      <c r="F78" s="23"/>
      <c r="G78" s="27">
        <f>H9</f>
        <v>141000</v>
      </c>
      <c r="H78" s="27">
        <f>G78</f>
        <v>141000</v>
      </c>
      <c r="I78" s="27">
        <f>H78</f>
        <v>141000</v>
      </c>
      <c r="J78" s="144">
        <f>I78</f>
        <v>141000</v>
      </c>
      <c r="K78" s="2"/>
      <c r="L78" s="2"/>
      <c r="M78" s="2"/>
      <c r="N78" s="2"/>
    </row>
    <row r="79" spans="1:14" ht="12.75">
      <c r="A79" s="142" t="s">
        <v>46</v>
      </c>
      <c r="B79" s="23"/>
      <c r="C79" s="23"/>
      <c r="D79" s="146"/>
      <c r="E79" s="146"/>
      <c r="F79" s="146"/>
      <c r="G79" s="146"/>
      <c r="H79" s="27">
        <f>H12/2</f>
        <v>640500</v>
      </c>
      <c r="I79" s="27">
        <f>H79*2</f>
        <v>1281000</v>
      </c>
      <c r="J79" s="144">
        <f>I79</f>
        <v>1281000</v>
      </c>
      <c r="K79" s="2"/>
      <c r="L79" s="2"/>
      <c r="M79" s="2"/>
      <c r="N79" s="2"/>
    </row>
    <row r="80" spans="1:14" ht="12.75">
      <c r="A80" s="142"/>
      <c r="B80" s="23"/>
      <c r="C80" s="23"/>
      <c r="D80" s="146"/>
      <c r="E80" s="146"/>
      <c r="F80" s="146"/>
      <c r="G80" s="27"/>
      <c r="H80" s="27"/>
      <c r="I80" s="27"/>
      <c r="J80" s="144"/>
      <c r="K80" s="2"/>
      <c r="L80" s="2"/>
      <c r="M80" s="2"/>
      <c r="N80" s="2"/>
    </row>
    <row r="81" spans="1:14" ht="12.75">
      <c r="A81" s="147" t="s">
        <v>57</v>
      </c>
      <c r="B81" s="23"/>
      <c r="C81" s="23"/>
      <c r="D81" s="23"/>
      <c r="E81" s="23"/>
      <c r="F81" s="27">
        <f>SUM(F74:F79)</f>
        <v>1208000</v>
      </c>
      <c r="G81" s="27">
        <f>SUM(G74:G79)</f>
        <v>6836000</v>
      </c>
      <c r="H81" s="27">
        <f>SUM(H74:H79)</f>
        <v>11403786.240095159</v>
      </c>
      <c r="I81" s="27">
        <f>SUM(I74:I80)</f>
        <v>12044286.240095159</v>
      </c>
      <c r="J81" s="144">
        <f>SUM(J74:J80)</f>
        <v>11204286.240095159</v>
      </c>
      <c r="K81" s="2"/>
      <c r="L81" s="2"/>
      <c r="M81" s="2"/>
      <c r="N81" s="2"/>
    </row>
    <row r="82" spans="1:14" ht="12.75">
      <c r="A82" s="147" t="s">
        <v>58</v>
      </c>
      <c r="B82" s="23"/>
      <c r="C82" s="23"/>
      <c r="D82" s="23"/>
      <c r="E82" s="23"/>
      <c r="F82" s="33">
        <f>F41</f>
        <v>13413393</v>
      </c>
      <c r="G82" s="33">
        <f>G41</f>
        <v>10185141</v>
      </c>
      <c r="H82" s="33">
        <f>H41</f>
        <v>9789382</v>
      </c>
      <c r="I82" s="33">
        <f>I41</f>
        <v>9784370</v>
      </c>
      <c r="J82" s="148">
        <f>J41</f>
        <v>9784370</v>
      </c>
      <c r="K82" s="25"/>
      <c r="L82" s="25"/>
      <c r="M82" s="25"/>
      <c r="N82" s="25"/>
    </row>
    <row r="83" spans="1:14" ht="12.75">
      <c r="A83" s="147" t="s">
        <v>59</v>
      </c>
      <c r="B83" s="23"/>
      <c r="C83" s="23"/>
      <c r="D83" s="23"/>
      <c r="E83" s="23"/>
      <c r="F83" s="33">
        <f>F81+F82</f>
        <v>14621393</v>
      </c>
      <c r="G83" s="33">
        <f>G81+G82</f>
        <v>17021141</v>
      </c>
      <c r="H83" s="33">
        <f>H81+H82</f>
        <v>21193168.24009516</v>
      </c>
      <c r="I83" s="33">
        <f>I81+I82</f>
        <v>21828656.24009516</v>
      </c>
      <c r="J83" s="148">
        <f>J81+J82</f>
        <v>20988656.24009516</v>
      </c>
      <c r="K83" s="25"/>
      <c r="L83" s="25"/>
      <c r="M83" s="25"/>
      <c r="N83" s="25"/>
    </row>
    <row r="84" spans="1:10" ht="10.5">
      <c r="A84" s="22"/>
      <c r="B84" s="23"/>
      <c r="C84" s="23"/>
      <c r="D84" s="23"/>
      <c r="E84" s="23"/>
      <c r="F84" s="23"/>
      <c r="G84" s="23"/>
      <c r="H84" s="23"/>
      <c r="I84" s="23"/>
      <c r="J84" s="24"/>
    </row>
    <row r="85" spans="1:10" s="7" customFormat="1" ht="11.25" thickBot="1">
      <c r="A85" s="149" t="s">
        <v>54</v>
      </c>
      <c r="B85" s="150"/>
      <c r="C85" s="150"/>
      <c r="D85" s="150"/>
      <c r="E85" s="150"/>
      <c r="F85" s="151">
        <f>F83/F66</f>
        <v>0.03564619530780979</v>
      </c>
      <c r="G85" s="151">
        <f>G83/G66</f>
        <v>0.04068299613783673</v>
      </c>
      <c r="H85" s="151">
        <f>H83/H66</f>
        <v>0.04966151612835043</v>
      </c>
      <c r="I85" s="151">
        <f>I83/I66</f>
        <v>0.05014768834783619</v>
      </c>
      <c r="J85" s="152">
        <f>J83/J66</f>
        <v>0.04727247919698336</v>
      </c>
    </row>
    <row r="86" spans="3:9" ht="10.5">
      <c r="C86" s="3"/>
      <c r="D86" s="3"/>
      <c r="E86" s="3"/>
      <c r="F86" s="3"/>
      <c r="G86" s="3"/>
      <c r="H86" s="3"/>
      <c r="I86" s="3"/>
    </row>
    <row r="87" ht="11.25" thickBot="1"/>
    <row r="88" spans="1:10" ht="12.75">
      <c r="A88" s="153" t="s">
        <v>60</v>
      </c>
      <c r="B88" s="154"/>
      <c r="C88" s="155"/>
      <c r="D88" s="155"/>
      <c r="E88" s="155"/>
      <c r="F88" s="155"/>
      <c r="G88" s="155"/>
      <c r="H88" s="155"/>
      <c r="I88" s="155"/>
      <c r="J88" s="156"/>
    </row>
    <row r="89" spans="1:10" ht="12.75">
      <c r="A89" s="157"/>
      <c r="B89" s="158"/>
      <c r="C89" s="158"/>
      <c r="D89" s="159"/>
      <c r="E89" s="160">
        <v>2002</v>
      </c>
      <c r="F89" s="160">
        <v>2003</v>
      </c>
      <c r="G89" s="160">
        <v>2004</v>
      </c>
      <c r="H89" s="160">
        <v>2005</v>
      </c>
      <c r="I89" s="160">
        <v>2006</v>
      </c>
      <c r="J89" s="161">
        <v>2007</v>
      </c>
    </row>
    <row r="90" spans="1:10" ht="12.75">
      <c r="A90" s="162" t="s">
        <v>56</v>
      </c>
      <c r="B90" s="158"/>
      <c r="C90" s="158"/>
      <c r="D90" s="163"/>
      <c r="E90" s="163"/>
      <c r="F90" s="159"/>
      <c r="G90" s="164">
        <v>6609000</v>
      </c>
      <c r="H90" s="164">
        <v>6609000</v>
      </c>
      <c r="I90" s="164">
        <v>6609000</v>
      </c>
      <c r="J90" s="165">
        <v>6609000</v>
      </c>
    </row>
    <row r="91" spans="1:10" ht="12.75">
      <c r="A91" s="162" t="s">
        <v>4</v>
      </c>
      <c r="B91" s="158"/>
      <c r="C91" s="163"/>
      <c r="D91" s="163"/>
      <c r="E91" s="163"/>
      <c r="F91" s="164">
        <v>2406000</v>
      </c>
      <c r="G91" s="164">
        <v>2406000</v>
      </c>
      <c r="H91" s="164">
        <v>2406000</v>
      </c>
      <c r="I91" s="164">
        <v>2406000</v>
      </c>
      <c r="J91" s="165">
        <v>2406000</v>
      </c>
    </row>
    <row r="92" spans="1:10" ht="12.75">
      <c r="A92" s="166" t="s">
        <v>37</v>
      </c>
      <c r="B92" s="158"/>
      <c r="C92" s="158"/>
      <c r="D92" s="167"/>
      <c r="E92" s="158"/>
      <c r="F92" s="164">
        <v>799000</v>
      </c>
      <c r="G92" s="164">
        <v>799000</v>
      </c>
      <c r="H92" s="164">
        <v>799000</v>
      </c>
      <c r="I92" s="164"/>
      <c r="J92" s="165"/>
    </row>
    <row r="93" spans="1:10" ht="12.75">
      <c r="A93" s="162" t="s">
        <v>39</v>
      </c>
      <c r="B93" s="158"/>
      <c r="C93" s="158"/>
      <c r="D93" s="158"/>
      <c r="E93" s="158"/>
      <c r="F93" s="158"/>
      <c r="G93" s="158"/>
      <c r="H93" s="164">
        <v>488286.2400951599</v>
      </c>
      <c r="I93" s="164">
        <v>488286.2400951599</v>
      </c>
      <c r="J93" s="165">
        <v>488286.2400951599</v>
      </c>
    </row>
    <row r="94" spans="1:10" ht="12.75">
      <c r="A94" s="162" t="s">
        <v>44</v>
      </c>
      <c r="B94" s="158"/>
      <c r="C94" s="158"/>
      <c r="D94" s="167"/>
      <c r="E94" s="158"/>
      <c r="F94" s="158"/>
      <c r="G94" s="164">
        <v>1724000</v>
      </c>
      <c r="H94" s="164">
        <v>1724000</v>
      </c>
      <c r="I94" s="164">
        <v>1724000</v>
      </c>
      <c r="J94" s="165">
        <v>1724000</v>
      </c>
    </row>
    <row r="95" spans="1:10" ht="12.75">
      <c r="A95" s="162" t="s">
        <v>46</v>
      </c>
      <c r="B95" s="158"/>
      <c r="C95" s="158"/>
      <c r="D95" s="167"/>
      <c r="E95" s="167"/>
      <c r="F95" s="167"/>
      <c r="G95" s="167"/>
      <c r="H95" s="164">
        <v>810500</v>
      </c>
      <c r="I95" s="164">
        <v>1621000</v>
      </c>
      <c r="J95" s="165">
        <v>1621000</v>
      </c>
    </row>
    <row r="96" spans="1:10" ht="12.75">
      <c r="A96" s="162"/>
      <c r="B96" s="158"/>
      <c r="C96" s="158"/>
      <c r="D96" s="167"/>
      <c r="E96" s="167"/>
      <c r="F96" s="167"/>
      <c r="G96" s="164"/>
      <c r="H96" s="164"/>
      <c r="I96" s="164"/>
      <c r="J96" s="165"/>
    </row>
    <row r="97" spans="1:10" ht="12.75">
      <c r="A97" s="168" t="s">
        <v>57</v>
      </c>
      <c r="B97" s="158"/>
      <c r="C97" s="158"/>
      <c r="D97" s="158"/>
      <c r="E97" s="158"/>
      <c r="F97" s="164">
        <f>SUM(F90:F95)</f>
        <v>3205000</v>
      </c>
      <c r="G97" s="164">
        <f>SUM(G90:G95)</f>
        <v>11538000</v>
      </c>
      <c r="H97" s="164">
        <f>SUM(H90:H95)</f>
        <v>12836786.240095159</v>
      </c>
      <c r="I97" s="164">
        <f>SUM(I90:I96)</f>
        <v>12848286.240095159</v>
      </c>
      <c r="J97" s="165">
        <f>SUM(J90:J96)</f>
        <v>12848286.240095159</v>
      </c>
    </row>
    <row r="98" spans="1:10" ht="12.75">
      <c r="A98" s="168" t="s">
        <v>58</v>
      </c>
      <c r="B98" s="158"/>
      <c r="C98" s="158"/>
      <c r="D98" s="158"/>
      <c r="E98" s="158"/>
      <c r="F98" s="169">
        <v>13413393</v>
      </c>
      <c r="G98" s="169">
        <v>10185141</v>
      </c>
      <c r="H98" s="169">
        <v>9789382</v>
      </c>
      <c r="I98" s="169">
        <v>9784370</v>
      </c>
      <c r="J98" s="170">
        <v>9317720</v>
      </c>
    </row>
    <row r="99" spans="1:10" ht="12.75">
      <c r="A99" s="168" t="s">
        <v>59</v>
      </c>
      <c r="B99" s="158"/>
      <c r="C99" s="158"/>
      <c r="D99" s="158"/>
      <c r="E99" s="158"/>
      <c r="F99" s="169">
        <f>F97+F98</f>
        <v>16618393</v>
      </c>
      <c r="G99" s="169">
        <f>G97+G98</f>
        <v>21723141</v>
      </c>
      <c r="H99" s="169">
        <f>H97+H98</f>
        <v>22626168.24009516</v>
      </c>
      <c r="I99" s="169">
        <f>I97+I98</f>
        <v>22632656.24009516</v>
      </c>
      <c r="J99" s="170">
        <f>J97+J98</f>
        <v>22166006.24009516</v>
      </c>
    </row>
    <row r="100" spans="1:10" ht="10.5">
      <c r="A100" s="171"/>
      <c r="B100" s="158"/>
      <c r="C100" s="158"/>
      <c r="D100" s="158"/>
      <c r="E100" s="158"/>
      <c r="F100" s="158"/>
      <c r="G100" s="158"/>
      <c r="H100" s="158"/>
      <c r="I100" s="158"/>
      <c r="J100" s="172"/>
    </row>
    <row r="101" spans="1:10" ht="18">
      <c r="A101" s="135" t="s">
        <v>52</v>
      </c>
      <c r="B101" s="158"/>
      <c r="C101" s="158"/>
      <c r="D101" s="158"/>
      <c r="E101" s="158"/>
      <c r="F101" s="164">
        <v>427700222</v>
      </c>
      <c r="G101" s="164">
        <v>435544055</v>
      </c>
      <c r="H101" s="164">
        <v>449280111.4741401</v>
      </c>
      <c r="I101" s="164">
        <v>463449371.53651595</v>
      </c>
      <c r="J101" s="165">
        <v>478065497.4306699</v>
      </c>
    </row>
    <row r="102" spans="1:10" ht="10.5">
      <c r="A102" s="171"/>
      <c r="B102" s="158"/>
      <c r="C102" s="158"/>
      <c r="D102" s="158"/>
      <c r="E102" s="158"/>
      <c r="F102" s="158"/>
      <c r="G102" s="158"/>
      <c r="H102" s="158"/>
      <c r="I102" s="158"/>
      <c r="J102" s="172"/>
    </row>
    <row r="103" spans="1:10" ht="10.5">
      <c r="A103" s="173" t="s">
        <v>64</v>
      </c>
      <c r="B103" s="174"/>
      <c r="C103" s="174"/>
      <c r="D103" s="174"/>
      <c r="E103" s="174"/>
      <c r="F103" s="175">
        <f>F99/F101</f>
        <v>0.03885523585255469</v>
      </c>
      <c r="G103" s="175">
        <f>G99/G101</f>
        <v>0.04987587535777523</v>
      </c>
      <c r="H103" s="175">
        <f>H99/H101</f>
        <v>0.05036093889368056</v>
      </c>
      <c r="I103" s="175">
        <f>I99/I101</f>
        <v>0.048835229110483096</v>
      </c>
      <c r="J103" s="176">
        <f>J99/J101</f>
        <v>0.04636604473492614</v>
      </c>
    </row>
    <row r="104" spans="1:10" ht="10.5">
      <c r="A104" s="171"/>
      <c r="B104" s="158"/>
      <c r="C104" s="158"/>
      <c r="D104" s="158"/>
      <c r="E104" s="158"/>
      <c r="F104" s="158"/>
      <c r="G104" s="158"/>
      <c r="H104" s="158"/>
      <c r="I104" s="158"/>
      <c r="J104" s="172"/>
    </row>
    <row r="105" spans="1:10" ht="10.5">
      <c r="A105" s="171"/>
      <c r="B105" s="158"/>
      <c r="C105" s="158"/>
      <c r="D105" s="158"/>
      <c r="E105" s="158"/>
      <c r="F105" s="169"/>
      <c r="G105" s="169"/>
      <c r="H105" s="169"/>
      <c r="I105" s="169"/>
      <c r="J105" s="170"/>
    </row>
    <row r="106" spans="1:10" ht="21">
      <c r="A106" s="177"/>
      <c r="B106" s="178"/>
      <c r="C106" s="178"/>
      <c r="D106" s="178"/>
      <c r="E106" s="179" t="s">
        <v>0</v>
      </c>
      <c r="F106" s="179" t="s">
        <v>1</v>
      </c>
      <c r="G106" s="179" t="s">
        <v>2</v>
      </c>
      <c r="H106" s="179" t="s">
        <v>3</v>
      </c>
      <c r="I106" s="158"/>
      <c r="J106" s="172"/>
    </row>
    <row r="107" spans="1:10" ht="12.75">
      <c r="A107" s="180" t="s">
        <v>4</v>
      </c>
      <c r="B107" s="158"/>
      <c r="C107" s="158"/>
      <c r="D107" s="158"/>
      <c r="E107" s="58">
        <f>'[3]Borrowing Summary'!B11</f>
        <v>29900000</v>
      </c>
      <c r="F107" s="58">
        <f>'[3]Borrowing Summary'!$D$11</f>
        <v>30200000</v>
      </c>
      <c r="G107" s="181">
        <v>37622</v>
      </c>
      <c r="H107" s="182">
        <f>H91</f>
        <v>2406000</v>
      </c>
      <c r="I107" s="158"/>
      <c r="J107" s="172"/>
    </row>
    <row r="108" spans="1:10" ht="12.75">
      <c r="A108" s="180" t="s">
        <v>5</v>
      </c>
      <c r="B108" s="158"/>
      <c r="C108" s="158"/>
      <c r="D108" s="158"/>
      <c r="E108" s="58">
        <f>'[3]Borrowing Summary'!$B$13</f>
        <v>21420000</v>
      </c>
      <c r="F108" s="58">
        <f>'[3]Borrowing Summary'!$D$13</f>
        <v>21640000</v>
      </c>
      <c r="G108" s="181">
        <v>37987</v>
      </c>
      <c r="H108" s="182">
        <f>G94</f>
        <v>1724000</v>
      </c>
      <c r="I108" s="158"/>
      <c r="J108" s="172"/>
    </row>
    <row r="109" spans="1:10" ht="12.75">
      <c r="A109" s="180" t="s">
        <v>6</v>
      </c>
      <c r="B109" s="158"/>
      <c r="C109" s="158"/>
      <c r="D109" s="158"/>
      <c r="E109" s="183">
        <f>'[3]Borrowing Summary'!$B$12</f>
        <v>82120000</v>
      </c>
      <c r="F109" s="58">
        <f>ROUND(E109/0.99,-4)</f>
        <v>82950000</v>
      </c>
      <c r="G109" s="181">
        <v>37987</v>
      </c>
      <c r="H109" s="182">
        <f>H90</f>
        <v>6609000</v>
      </c>
      <c r="I109" s="158"/>
      <c r="J109" s="172"/>
    </row>
    <row r="110" spans="1:10" ht="12.75">
      <c r="A110" s="184" t="s">
        <v>7</v>
      </c>
      <c r="B110" s="158"/>
      <c r="C110" s="55"/>
      <c r="D110" s="56"/>
      <c r="E110" s="57" t="s">
        <v>61</v>
      </c>
      <c r="F110" s="57" t="s">
        <v>61</v>
      </c>
      <c r="G110" s="181">
        <f>G109</f>
        <v>37987</v>
      </c>
      <c r="H110" s="57" t="s">
        <v>61</v>
      </c>
      <c r="I110" s="158"/>
      <c r="J110" s="172"/>
    </row>
    <row r="111" spans="1:10" ht="12.75">
      <c r="A111" s="184" t="s">
        <v>8</v>
      </c>
      <c r="B111" s="158"/>
      <c r="C111" s="55"/>
      <c r="D111" s="56"/>
      <c r="E111" s="58">
        <f>'[3]Borrowing Summary'!$B$14</f>
        <v>20150000</v>
      </c>
      <c r="F111" s="58">
        <f>ROUND(E111/0.99,-4)</f>
        <v>20350000</v>
      </c>
      <c r="G111" s="181">
        <v>38534</v>
      </c>
      <c r="H111" s="182">
        <f>I95</f>
        <v>1621000</v>
      </c>
      <c r="I111" s="158"/>
      <c r="J111" s="172"/>
    </row>
    <row r="112" spans="1:10" ht="11.25" thickBot="1">
      <c r="A112" s="185"/>
      <c r="B112" s="186"/>
      <c r="C112" s="186"/>
      <c r="D112" s="186"/>
      <c r="E112" s="186"/>
      <c r="F112" s="186"/>
      <c r="G112" s="186"/>
      <c r="H112" s="186"/>
      <c r="I112" s="186"/>
      <c r="J112" s="187"/>
    </row>
  </sheetData>
  <mergeCells count="1">
    <mergeCell ref="R48:S48"/>
  </mergeCells>
  <printOptions/>
  <pageMargins left="0.75" right="0.75" top="1" bottom="1" header="0.5" footer="0.5"/>
  <pageSetup fitToHeight="1" fitToWidth="1" horizontalDpi="600" verticalDpi="600" orientation="portrait" scale="81" r:id="rId3"/>
  <headerFooter alignWithMargins="0">
    <oddHeader>&amp;C&amp;"Times New Roman,Bold Italic"&amp;14CX Debt Service Plan in Support of CASP Appropriation Request&amp;"Arial,Regular"&amp;10
</oddHeader>
    <oddFooter>&amp;L&amp;8&amp;T &amp;D&amp;C&amp;8&amp;P&amp;R&amp;8W:\2003 Budget\CX Debt Plan\CASP\2002 Supplemental\CASP Financing Summary 6.26.2002.xls (Sheet1)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tabSelected="1" workbookViewId="0" topLeftCell="A1">
      <selection activeCell="G218" sqref="G218"/>
    </sheetView>
  </sheetViews>
  <sheetFormatPr defaultColWidth="9.140625" defaultRowHeight="12.75"/>
  <cols>
    <col min="1" max="1" width="5.57421875" style="63" customWidth="1"/>
    <col min="2" max="2" width="5.421875" style="189" customWidth="1"/>
    <col min="3" max="3" width="16.7109375" style="190" customWidth="1"/>
    <col min="4" max="4" width="14.7109375" style="190" customWidth="1"/>
    <col min="5" max="5" width="19.00390625" style="190" customWidth="1"/>
    <col min="6" max="16384" width="9.140625" style="63" customWidth="1"/>
  </cols>
  <sheetData>
    <row r="2" spans="1:5" ht="27">
      <c r="A2" s="191" t="s">
        <v>72</v>
      </c>
      <c r="B2" s="192" t="s">
        <v>73</v>
      </c>
      <c r="C2" s="193" t="s">
        <v>74</v>
      </c>
      <c r="D2" s="194" t="s">
        <v>75</v>
      </c>
      <c r="E2" s="194" t="s">
        <v>76</v>
      </c>
    </row>
    <row r="3" spans="1:4" ht="12.75">
      <c r="A3" s="66"/>
      <c r="B3" s="195">
        <v>1997</v>
      </c>
      <c r="C3" s="196">
        <v>40542</v>
      </c>
      <c r="D3" s="196"/>
    </row>
    <row r="4" spans="1:6" ht="12.75">
      <c r="A4" s="66" t="s">
        <v>77</v>
      </c>
      <c r="B4" s="195">
        <v>1998</v>
      </c>
      <c r="C4" s="196"/>
      <c r="D4" s="196">
        <v>3500000</v>
      </c>
      <c r="E4" s="201" t="s">
        <v>78</v>
      </c>
      <c r="F4" s="63" t="s">
        <v>107</v>
      </c>
    </row>
    <row r="5" spans="1:5" ht="12.75" hidden="1">
      <c r="A5" s="66" t="s">
        <v>79</v>
      </c>
      <c r="B5" s="195">
        <v>1998</v>
      </c>
      <c r="E5" s="201"/>
    </row>
    <row r="6" spans="1:5" ht="12.75" hidden="1">
      <c r="A6" s="66" t="s">
        <v>80</v>
      </c>
      <c r="B6" s="195">
        <v>1998</v>
      </c>
      <c r="E6" s="201"/>
    </row>
    <row r="7" spans="1:5" ht="12.75" hidden="1">
      <c r="A7" s="66" t="s">
        <v>81</v>
      </c>
      <c r="B7" s="195">
        <v>1998</v>
      </c>
      <c r="E7" s="201"/>
    </row>
    <row r="8" spans="1:5" ht="12.75" hidden="1">
      <c r="A8" s="66" t="s">
        <v>82</v>
      </c>
      <c r="B8" s="195">
        <v>1998</v>
      </c>
      <c r="E8" s="201"/>
    </row>
    <row r="9" spans="1:5" ht="12.75" hidden="1">
      <c r="A9" s="66" t="s">
        <v>83</v>
      </c>
      <c r="B9" s="195">
        <v>1998</v>
      </c>
      <c r="E9" s="201"/>
    </row>
    <row r="10" spans="1:5" ht="12.75" hidden="1">
      <c r="A10" s="66" t="s">
        <v>84</v>
      </c>
      <c r="B10" s="195">
        <v>1998</v>
      </c>
      <c r="E10" s="201"/>
    </row>
    <row r="11" spans="1:5" ht="12.75" hidden="1">
      <c r="A11" s="66" t="s">
        <v>85</v>
      </c>
      <c r="B11" s="195">
        <v>1998</v>
      </c>
      <c r="C11" s="196"/>
      <c r="E11" s="201"/>
    </row>
    <row r="12" spans="1:5" ht="12.75" hidden="1">
      <c r="A12" s="66" t="s">
        <v>86</v>
      </c>
      <c r="B12" s="195">
        <v>1998</v>
      </c>
      <c r="E12" s="201"/>
    </row>
    <row r="13" spans="1:5" ht="12.75" hidden="1">
      <c r="A13" s="66" t="s">
        <v>87</v>
      </c>
      <c r="B13" s="195">
        <v>1998</v>
      </c>
      <c r="E13" s="201"/>
    </row>
    <row r="14" spans="1:5" ht="12.75" hidden="1">
      <c r="A14" s="66" t="s">
        <v>88</v>
      </c>
      <c r="B14" s="195">
        <v>1998</v>
      </c>
      <c r="C14" s="196"/>
      <c r="E14" s="201"/>
    </row>
    <row r="15" spans="1:5" ht="12.75" hidden="1">
      <c r="A15" s="66" t="s">
        <v>89</v>
      </c>
      <c r="B15" s="195">
        <v>1998</v>
      </c>
      <c r="C15" s="196" t="e">
        <f>SUM(#REF!)</f>
        <v>#REF!</v>
      </c>
      <c r="E15" s="201"/>
    </row>
    <row r="16" spans="1:5" ht="12.75" hidden="1">
      <c r="A16" s="66" t="s">
        <v>77</v>
      </c>
      <c r="B16" s="195">
        <v>1999</v>
      </c>
      <c r="E16" s="201"/>
    </row>
    <row r="17" spans="1:5" ht="12.75" hidden="1">
      <c r="A17" s="66" t="s">
        <v>79</v>
      </c>
      <c r="B17" s="195">
        <v>1999</v>
      </c>
      <c r="E17" s="201"/>
    </row>
    <row r="18" spans="1:5" ht="12.75" hidden="1">
      <c r="A18" s="66" t="s">
        <v>80</v>
      </c>
      <c r="B18" s="195">
        <v>1999</v>
      </c>
      <c r="E18" s="201"/>
    </row>
    <row r="19" spans="1:5" ht="12.75" hidden="1">
      <c r="A19" s="66" t="s">
        <v>81</v>
      </c>
      <c r="B19" s="195">
        <v>1999</v>
      </c>
      <c r="E19" s="201"/>
    </row>
    <row r="20" spans="1:5" ht="12.75" hidden="1">
      <c r="A20" s="66" t="s">
        <v>82</v>
      </c>
      <c r="B20" s="195">
        <v>1999</v>
      </c>
      <c r="E20" s="201"/>
    </row>
    <row r="21" spans="1:5" ht="12.75" hidden="1">
      <c r="A21" s="66" t="s">
        <v>83</v>
      </c>
      <c r="B21" s="195">
        <v>1999</v>
      </c>
      <c r="E21" s="201"/>
    </row>
    <row r="22" spans="1:5" ht="12.75" hidden="1">
      <c r="A22" s="66" t="s">
        <v>84</v>
      </c>
      <c r="B22" s="195">
        <v>1999</v>
      </c>
      <c r="E22" s="201"/>
    </row>
    <row r="23" spans="1:5" ht="12.75" hidden="1">
      <c r="A23" s="66" t="s">
        <v>85</v>
      </c>
      <c r="B23" s="195">
        <v>1999</v>
      </c>
      <c r="E23" s="201"/>
    </row>
    <row r="24" spans="1:5" ht="12.75" hidden="1">
      <c r="A24" s="66" t="s">
        <v>86</v>
      </c>
      <c r="B24" s="195">
        <v>1999</v>
      </c>
      <c r="E24" s="201"/>
    </row>
    <row r="25" spans="1:5" ht="12.75" hidden="1">
      <c r="A25" s="66" t="s">
        <v>87</v>
      </c>
      <c r="B25" s="195">
        <v>1999</v>
      </c>
      <c r="E25" s="201"/>
    </row>
    <row r="26" spans="1:5" ht="12.75" hidden="1">
      <c r="A26" s="66" t="s">
        <v>88</v>
      </c>
      <c r="B26" s="195">
        <v>1999</v>
      </c>
      <c r="C26" s="196"/>
      <c r="E26" s="201"/>
    </row>
    <row r="27" spans="1:5" ht="12.75" hidden="1">
      <c r="A27" s="66" t="s">
        <v>89</v>
      </c>
      <c r="B27" s="195">
        <v>1999</v>
      </c>
      <c r="C27" s="196" t="e">
        <f>SUM(#REF!)</f>
        <v>#REF!</v>
      </c>
      <c r="E27" s="201"/>
    </row>
    <row r="28" spans="1:5" ht="12.75" hidden="1">
      <c r="A28" s="66" t="s">
        <v>77</v>
      </c>
      <c r="B28" s="195">
        <v>2000</v>
      </c>
      <c r="E28" s="201"/>
    </row>
    <row r="29" spans="1:5" ht="12.75" hidden="1">
      <c r="A29" s="66" t="s">
        <v>79</v>
      </c>
      <c r="B29" s="195">
        <v>2000</v>
      </c>
      <c r="E29" s="201"/>
    </row>
    <row r="30" spans="1:5" ht="12.75" hidden="1">
      <c r="A30" s="66" t="s">
        <v>80</v>
      </c>
      <c r="B30" s="195">
        <v>2000</v>
      </c>
      <c r="E30" s="201"/>
    </row>
    <row r="31" spans="1:5" ht="12.75" hidden="1">
      <c r="A31" s="66" t="s">
        <v>81</v>
      </c>
      <c r="B31" s="195">
        <v>2000</v>
      </c>
      <c r="E31" s="201"/>
    </row>
    <row r="32" spans="1:6" ht="12.75">
      <c r="A32" s="66" t="s">
        <v>82</v>
      </c>
      <c r="B32" s="195">
        <v>2000</v>
      </c>
      <c r="D32" s="196">
        <v>160000</v>
      </c>
      <c r="E32" s="201" t="s">
        <v>90</v>
      </c>
      <c r="F32" s="63" t="s">
        <v>106</v>
      </c>
    </row>
    <row r="33" spans="1:6" ht="12.75" hidden="1">
      <c r="A33" s="66" t="s">
        <v>91</v>
      </c>
      <c r="B33" s="195">
        <v>2000</v>
      </c>
      <c r="D33" s="196"/>
      <c r="E33" s="201"/>
      <c r="F33" s="63" t="s">
        <v>106</v>
      </c>
    </row>
    <row r="34" spans="1:6" ht="12.75" hidden="1">
      <c r="A34" s="66" t="s">
        <v>84</v>
      </c>
      <c r="B34" s="195">
        <v>2000</v>
      </c>
      <c r="C34" s="196"/>
      <c r="D34" s="196"/>
      <c r="E34" s="201"/>
      <c r="F34" s="63" t="s">
        <v>106</v>
      </c>
    </row>
    <row r="35" spans="1:6" ht="12.75" hidden="1">
      <c r="A35" s="66" t="s">
        <v>85</v>
      </c>
      <c r="B35" s="195">
        <v>2000</v>
      </c>
      <c r="D35" s="196"/>
      <c r="E35" s="201"/>
      <c r="F35" s="63" t="s">
        <v>106</v>
      </c>
    </row>
    <row r="36" spans="1:6" ht="12.75">
      <c r="A36" s="66" t="s">
        <v>86</v>
      </c>
      <c r="B36" s="195">
        <v>2000</v>
      </c>
      <c r="D36" s="196">
        <v>5383823</v>
      </c>
      <c r="E36" s="201" t="s">
        <v>92</v>
      </c>
      <c r="F36" s="63" t="s">
        <v>106</v>
      </c>
    </row>
    <row r="37" spans="1:6" ht="12.75" hidden="1">
      <c r="A37" s="66" t="s">
        <v>87</v>
      </c>
      <c r="B37" s="195">
        <v>2000</v>
      </c>
      <c r="D37" s="196"/>
      <c r="E37" s="201"/>
      <c r="F37" s="63" t="s">
        <v>106</v>
      </c>
    </row>
    <row r="38" spans="1:6" ht="12.75" hidden="1">
      <c r="A38" s="66" t="s">
        <v>88</v>
      </c>
      <c r="B38" s="195">
        <v>2000</v>
      </c>
      <c r="C38" s="196"/>
      <c r="D38" s="196"/>
      <c r="E38" s="201"/>
      <c r="F38" s="63" t="s">
        <v>106</v>
      </c>
    </row>
    <row r="39" spans="1:6" ht="12.75" hidden="1">
      <c r="A39" s="66" t="s">
        <v>89</v>
      </c>
      <c r="B39" s="195">
        <v>2000</v>
      </c>
      <c r="C39" s="196" t="e">
        <f>SUM(#REF!)</f>
        <v>#REF!</v>
      </c>
      <c r="E39" s="201"/>
      <c r="F39" s="63" t="s">
        <v>106</v>
      </c>
    </row>
    <row r="40" spans="1:6" ht="12.75" hidden="1">
      <c r="A40" s="66" t="s">
        <v>77</v>
      </c>
      <c r="B40" s="195">
        <v>2001</v>
      </c>
      <c r="E40" s="201"/>
      <c r="F40" s="63" t="s">
        <v>106</v>
      </c>
    </row>
    <row r="41" spans="1:6" ht="12.75" hidden="1">
      <c r="A41" s="66" t="s">
        <v>79</v>
      </c>
      <c r="B41" s="195">
        <v>2001</v>
      </c>
      <c r="E41" s="201"/>
      <c r="F41" s="63" t="s">
        <v>106</v>
      </c>
    </row>
    <row r="42" spans="1:6" ht="12.75" hidden="1">
      <c r="A42" s="66" t="s">
        <v>80</v>
      </c>
      <c r="B42" s="195">
        <v>2001</v>
      </c>
      <c r="E42" s="201"/>
      <c r="F42" s="63" t="s">
        <v>106</v>
      </c>
    </row>
    <row r="43" spans="1:6" ht="12.75" hidden="1">
      <c r="A43" s="66" t="s">
        <v>81</v>
      </c>
      <c r="B43" s="195">
        <v>2001</v>
      </c>
      <c r="C43" s="197"/>
      <c r="E43" s="201" t="s">
        <v>93</v>
      </c>
      <c r="F43" s="63" t="s">
        <v>106</v>
      </c>
    </row>
    <row r="44" spans="1:6" ht="12.75">
      <c r="A44" s="66" t="s">
        <v>82</v>
      </c>
      <c r="B44" s="195">
        <v>2001</v>
      </c>
      <c r="C44" s="196"/>
      <c r="D44" s="196">
        <v>59308884</v>
      </c>
      <c r="E44" s="201" t="s">
        <v>94</v>
      </c>
      <c r="F44" s="63" t="s">
        <v>106</v>
      </c>
    </row>
    <row r="45" spans="1:6" ht="12.75">
      <c r="A45" s="66" t="s">
        <v>83</v>
      </c>
      <c r="B45" s="195">
        <v>2001</v>
      </c>
      <c r="C45" s="198"/>
      <c r="D45" s="196">
        <v>1227000</v>
      </c>
      <c r="E45" s="201" t="s">
        <v>95</v>
      </c>
      <c r="F45" s="63" t="s">
        <v>106</v>
      </c>
    </row>
    <row r="46" spans="1:5" ht="12.75" hidden="1">
      <c r="A46" s="66" t="s">
        <v>84</v>
      </c>
      <c r="B46" s="195">
        <v>2001</v>
      </c>
      <c r="C46" s="198"/>
      <c r="D46" s="198"/>
      <c r="E46" s="198"/>
    </row>
    <row r="47" spans="1:5" ht="12.75" hidden="1">
      <c r="A47" s="66" t="s">
        <v>85</v>
      </c>
      <c r="B47" s="195">
        <v>2001</v>
      </c>
      <c r="D47" s="199"/>
      <c r="E47" s="199"/>
    </row>
    <row r="48" spans="1:5" ht="12.75" hidden="1">
      <c r="A48" s="66" t="s">
        <v>86</v>
      </c>
      <c r="B48" s="195">
        <v>2001</v>
      </c>
      <c r="D48" s="196"/>
      <c r="E48" s="196"/>
    </row>
    <row r="49" spans="1:5" ht="12.75" hidden="1">
      <c r="A49" s="66" t="s">
        <v>87</v>
      </c>
      <c r="B49" s="195">
        <v>2001</v>
      </c>
      <c r="D49" s="196"/>
      <c r="E49" s="196"/>
    </row>
    <row r="50" spans="1:5" ht="12.75" hidden="1">
      <c r="A50" s="66" t="s">
        <v>88</v>
      </c>
      <c r="B50" s="195">
        <v>2001</v>
      </c>
      <c r="C50" s="196" t="e">
        <f>SUM(#REF!)</f>
        <v>#REF!</v>
      </c>
      <c r="D50" s="200"/>
      <c r="E50" s="201" t="s">
        <v>104</v>
      </c>
    </row>
    <row r="51" spans="1:5" ht="12.75" hidden="1">
      <c r="A51" s="66" t="s">
        <v>89</v>
      </c>
      <c r="B51" s="195">
        <v>2001</v>
      </c>
      <c r="C51" s="196" t="e">
        <f>SUM(#REF!)</f>
        <v>#REF!</v>
      </c>
      <c r="D51" s="202" t="s">
        <v>96</v>
      </c>
      <c r="E51" s="196"/>
    </row>
    <row r="52" spans="1:5" ht="12.75" hidden="1">
      <c r="A52" s="66" t="s">
        <v>77</v>
      </c>
      <c r="B52" s="195">
        <v>2002</v>
      </c>
      <c r="C52" s="196"/>
      <c r="E52" s="201" t="s">
        <v>105</v>
      </c>
    </row>
    <row r="53" spans="1:5" ht="12.75" hidden="1">
      <c r="A53" s="66" t="s">
        <v>79</v>
      </c>
      <c r="B53" s="195">
        <v>2002</v>
      </c>
      <c r="C53" s="196" t="e">
        <f>SUM(#REF!)</f>
        <v>#REF!</v>
      </c>
      <c r="D53" s="200"/>
      <c r="E53" s="196"/>
    </row>
    <row r="54" spans="1:5" ht="12.75" hidden="1">
      <c r="A54" s="66" t="s">
        <v>80</v>
      </c>
      <c r="B54" s="195">
        <v>2002</v>
      </c>
      <c r="D54" s="200"/>
      <c r="E54" s="196"/>
    </row>
    <row r="55" spans="1:2" ht="12.75" hidden="1">
      <c r="A55" s="66" t="s">
        <v>81</v>
      </c>
      <c r="B55" s="195">
        <v>2002</v>
      </c>
    </row>
    <row r="56" spans="1:2" ht="12.75" hidden="1">
      <c r="A56" s="66" t="s">
        <v>82</v>
      </c>
      <c r="B56" s="195">
        <v>2002</v>
      </c>
    </row>
    <row r="57" spans="1:2" ht="12.75" hidden="1">
      <c r="A57" s="66" t="s">
        <v>83</v>
      </c>
      <c r="B57" s="195">
        <v>2002</v>
      </c>
    </row>
    <row r="58" spans="1:2" ht="12.75" hidden="1">
      <c r="A58" s="66" t="s">
        <v>84</v>
      </c>
      <c r="B58" s="195">
        <v>2002</v>
      </c>
    </row>
    <row r="59" spans="1:2" ht="12.75" hidden="1">
      <c r="A59" s="66" t="s">
        <v>85</v>
      </c>
      <c r="B59" s="195">
        <v>2002</v>
      </c>
    </row>
    <row r="60" spans="1:2" ht="12.75" hidden="1">
      <c r="A60" s="66" t="s">
        <v>86</v>
      </c>
      <c r="B60" s="195">
        <v>2002</v>
      </c>
    </row>
    <row r="61" spans="1:2" ht="12.75" hidden="1">
      <c r="A61" s="66" t="s">
        <v>87</v>
      </c>
      <c r="B61" s="195">
        <v>2002</v>
      </c>
    </row>
    <row r="62" spans="1:2" ht="12.75" hidden="1">
      <c r="A62" s="66" t="s">
        <v>88</v>
      </c>
      <c r="B62" s="195">
        <v>2002</v>
      </c>
    </row>
    <row r="63" spans="1:2" ht="12.75" hidden="1">
      <c r="A63" s="66" t="s">
        <v>89</v>
      </c>
      <c r="B63" s="195">
        <v>2002</v>
      </c>
    </row>
    <row r="64" spans="1:2" ht="12.75" hidden="1">
      <c r="A64" s="66" t="s">
        <v>77</v>
      </c>
      <c r="B64" s="195">
        <v>2003</v>
      </c>
    </row>
    <row r="65" spans="1:2" ht="12.75" hidden="1">
      <c r="A65" s="66" t="s">
        <v>79</v>
      </c>
      <c r="B65" s="195">
        <v>2003</v>
      </c>
    </row>
    <row r="66" spans="1:2" ht="12.75" hidden="1">
      <c r="A66" s="66" t="s">
        <v>80</v>
      </c>
      <c r="B66" s="195">
        <v>2003</v>
      </c>
    </row>
    <row r="67" spans="1:2" ht="12.75" hidden="1">
      <c r="A67" s="66" t="s">
        <v>81</v>
      </c>
      <c r="B67" s="195">
        <v>2003</v>
      </c>
    </row>
    <row r="68" spans="1:2" ht="12.75" hidden="1">
      <c r="A68" s="66" t="s">
        <v>82</v>
      </c>
      <c r="B68" s="195">
        <v>2003</v>
      </c>
    </row>
    <row r="69" spans="1:2" ht="12.75" hidden="1">
      <c r="A69" s="66" t="s">
        <v>83</v>
      </c>
      <c r="B69" s="195">
        <v>2003</v>
      </c>
    </row>
    <row r="70" spans="1:2" ht="12.75" hidden="1">
      <c r="A70" s="66" t="s">
        <v>84</v>
      </c>
      <c r="B70" s="195">
        <v>2003</v>
      </c>
    </row>
    <row r="71" spans="1:2" ht="12.75" hidden="1">
      <c r="A71" s="66" t="s">
        <v>85</v>
      </c>
      <c r="B71" s="195">
        <v>2003</v>
      </c>
    </row>
    <row r="72" spans="1:2" ht="12.75" hidden="1">
      <c r="A72" s="66" t="s">
        <v>86</v>
      </c>
      <c r="B72" s="195">
        <v>2003</v>
      </c>
    </row>
    <row r="73" spans="1:2" ht="12.75" hidden="1">
      <c r="A73" s="66" t="s">
        <v>87</v>
      </c>
      <c r="B73" s="195">
        <v>2003</v>
      </c>
    </row>
    <row r="74" spans="1:2" ht="12.75" hidden="1">
      <c r="A74" s="66" t="s">
        <v>88</v>
      </c>
      <c r="B74" s="195">
        <v>2003</v>
      </c>
    </row>
    <row r="75" spans="1:2" ht="12.75" hidden="1">
      <c r="A75" s="66" t="s">
        <v>89</v>
      </c>
      <c r="B75" s="195">
        <v>2003</v>
      </c>
    </row>
    <row r="76" spans="1:2" ht="12.75" hidden="1">
      <c r="A76" s="66" t="s">
        <v>77</v>
      </c>
      <c r="B76" s="195">
        <v>2004</v>
      </c>
    </row>
    <row r="77" spans="1:2" ht="12.75" hidden="1">
      <c r="A77" s="66" t="s">
        <v>79</v>
      </c>
      <c r="B77" s="195">
        <v>2004</v>
      </c>
    </row>
    <row r="78" spans="1:2" ht="12.75" hidden="1">
      <c r="A78" s="66" t="s">
        <v>80</v>
      </c>
      <c r="B78" s="195">
        <v>2004</v>
      </c>
    </row>
    <row r="79" spans="1:2" ht="12.75" hidden="1">
      <c r="A79" s="66" t="s">
        <v>81</v>
      </c>
      <c r="B79" s="195">
        <v>2004</v>
      </c>
    </row>
    <row r="80" ht="12.75" hidden="1"/>
    <row r="81" ht="12.75" hidden="1"/>
    <row r="82" ht="12.75" hidden="1">
      <c r="B82" s="189" t="s">
        <v>97</v>
      </c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7" ht="12.75">
      <c r="D207" s="190">
        <f>SUM(D4:D45)</f>
        <v>69579707</v>
      </c>
    </row>
    <row r="209" spans="3:4" ht="12.75">
      <c r="C209" s="190" t="s">
        <v>98</v>
      </c>
      <c r="D209" s="190">
        <f>C3</f>
        <v>40542</v>
      </c>
    </row>
    <row r="210" spans="3:4" ht="12.75">
      <c r="C210" s="190" t="s">
        <v>99</v>
      </c>
      <c r="D210" s="190">
        <f>'[2]Current CASP'!K11</f>
        <v>83244884.36428235</v>
      </c>
    </row>
    <row r="211" ht="12.75">
      <c r="C211" s="203"/>
    </row>
    <row r="212" spans="3:5" ht="12.75">
      <c r="C212" s="203" t="s">
        <v>100</v>
      </c>
      <c r="D212" s="190">
        <f>SUM(D209:D211)</f>
        <v>83285426.36428235</v>
      </c>
      <c r="E212" s="190" t="s">
        <v>101</v>
      </c>
    </row>
    <row r="214" spans="3:5" ht="12.75">
      <c r="C214" s="190" t="s">
        <v>102</v>
      </c>
      <c r="D214" s="190">
        <f>D212-D207</f>
        <v>13705719.364282355</v>
      </c>
      <c r="E214" s="190" t="s">
        <v>103</v>
      </c>
    </row>
    <row r="216" ht="12.75">
      <c r="D216" s="20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&amp;R&amp;8W:\2003 Budget\CX Debt Plan\CASP\2002 Supplemental\CASP Financing Summary 6.26.2002.xls (CASP Appropriation Summmary)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137"/>
  <sheetViews>
    <sheetView workbookViewId="0" topLeftCell="C109">
      <selection activeCell="G117" sqref="G117"/>
    </sheetView>
  </sheetViews>
  <sheetFormatPr defaultColWidth="9.140625" defaultRowHeight="12.75"/>
  <cols>
    <col min="1" max="1" width="19.8515625" style="205" customWidth="1"/>
    <col min="2" max="2" width="14.57421875" style="207" customWidth="1"/>
    <col min="3" max="3" width="10.7109375" style="207" customWidth="1"/>
    <col min="4" max="4" width="20.57421875" style="207" customWidth="1"/>
    <col min="5" max="5" width="16.00390625" style="207" customWidth="1"/>
    <col min="6" max="6" width="12.8515625" style="208" customWidth="1"/>
    <col min="7" max="7" width="12.00390625" style="208" customWidth="1"/>
    <col min="8" max="8" width="4.421875" style="208" customWidth="1"/>
    <col min="9" max="9" width="9.57421875" style="208" customWidth="1"/>
    <col min="10" max="10" width="16.140625" style="207" customWidth="1"/>
    <col min="11" max="11" width="10.8515625" style="207" customWidth="1"/>
    <col min="12" max="12" width="12.28125" style="207" customWidth="1"/>
    <col min="13" max="111" width="9.140625" style="207" customWidth="1"/>
    <col min="112" max="16384" width="9.140625" style="206" customWidth="1"/>
  </cols>
  <sheetData>
    <row r="1" spans="2:9" ht="11.25">
      <c r="B1" s="206"/>
      <c r="C1" s="206"/>
      <c r="D1" s="206"/>
      <c r="E1" s="206"/>
      <c r="F1" s="206"/>
      <c r="G1" s="206"/>
      <c r="H1" s="206"/>
      <c r="I1" s="206"/>
    </row>
    <row r="2" spans="2:13" ht="11.25">
      <c r="B2" s="206"/>
      <c r="C2" s="206"/>
      <c r="F2" s="207"/>
      <c r="G2" s="207"/>
      <c r="H2" s="207"/>
      <c r="J2" s="208"/>
      <c r="K2" s="208"/>
      <c r="L2" s="208"/>
      <c r="M2" s="208"/>
    </row>
    <row r="3" spans="2:15" ht="11.25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22" ht="11.25">
      <c r="B4" s="206"/>
      <c r="C4" s="206"/>
      <c r="D4" s="206"/>
      <c r="E4" s="206"/>
      <c r="F4" s="206"/>
      <c r="G4" s="206"/>
      <c r="H4" s="206"/>
      <c r="I4" s="206"/>
      <c r="J4" s="209"/>
      <c r="K4" s="209"/>
      <c r="L4" s="209"/>
      <c r="M4" s="209"/>
      <c r="N4" s="206"/>
      <c r="O4" s="206"/>
      <c r="P4" s="210"/>
      <c r="Q4" s="206"/>
      <c r="R4" s="211"/>
      <c r="S4" s="206"/>
      <c r="T4" s="206"/>
      <c r="U4" s="206"/>
      <c r="V4" s="206"/>
    </row>
    <row r="5" spans="2:22" ht="11.25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0"/>
      <c r="Q5" s="206"/>
      <c r="R5" s="211"/>
      <c r="S5" s="206"/>
      <c r="T5" s="206"/>
      <c r="U5" s="206"/>
      <c r="V5" s="206"/>
    </row>
    <row r="6" spans="2:22" ht="11.25">
      <c r="B6" s="206"/>
      <c r="C6" s="206"/>
      <c r="D6" s="206"/>
      <c r="E6" s="206"/>
      <c r="F6" s="206"/>
      <c r="G6" s="206"/>
      <c r="H6" s="206"/>
      <c r="I6" s="206"/>
      <c r="J6" s="212"/>
      <c r="K6" s="212"/>
      <c r="L6" s="212"/>
      <c r="M6" s="212"/>
      <c r="N6" s="206"/>
      <c r="O6" s="206"/>
      <c r="P6" s="210"/>
      <c r="Q6" s="206"/>
      <c r="R6" s="211"/>
      <c r="S6" s="206"/>
      <c r="T6" s="206"/>
      <c r="U6" s="206"/>
      <c r="V6" s="206"/>
    </row>
    <row r="7" spans="2:22" ht="11.25">
      <c r="B7" s="206"/>
      <c r="C7" s="206"/>
      <c r="D7" s="206"/>
      <c r="E7" s="206"/>
      <c r="F7" s="213"/>
      <c r="G7" s="210"/>
      <c r="H7" s="210"/>
      <c r="I7" s="206"/>
      <c r="J7" s="206"/>
      <c r="K7" s="206"/>
      <c r="L7" s="206"/>
      <c r="M7" s="206"/>
      <c r="N7" s="206"/>
      <c r="O7" s="214" t="s">
        <v>108</v>
      </c>
      <c r="P7" s="210"/>
      <c r="Q7" s="206"/>
      <c r="R7" s="211"/>
      <c r="S7" s="206"/>
      <c r="T7" s="206"/>
      <c r="U7" s="206"/>
      <c r="V7" s="206"/>
    </row>
    <row r="8" spans="2:22" ht="11.25">
      <c r="B8" s="206"/>
      <c r="C8" s="206"/>
      <c r="D8" s="206"/>
      <c r="E8" s="206"/>
      <c r="F8" s="206"/>
      <c r="G8" s="210"/>
      <c r="H8" s="210"/>
      <c r="I8" s="206"/>
      <c r="J8" s="206"/>
      <c r="K8" s="206"/>
      <c r="L8" s="206"/>
      <c r="M8" s="206"/>
      <c r="N8" s="206"/>
      <c r="O8" s="213" t="s">
        <v>109</v>
      </c>
      <c r="P8" s="210"/>
      <c r="Q8" s="206"/>
      <c r="R8" s="211"/>
      <c r="S8" s="206"/>
      <c r="T8" s="206"/>
      <c r="U8" s="206"/>
      <c r="V8" s="206"/>
    </row>
    <row r="9" spans="2:22" ht="11.25">
      <c r="B9" s="206"/>
      <c r="C9" s="206"/>
      <c r="D9" s="206"/>
      <c r="E9" s="206"/>
      <c r="F9" s="206"/>
      <c r="G9" s="210"/>
      <c r="H9" s="210"/>
      <c r="I9" s="215"/>
      <c r="J9" s="206"/>
      <c r="K9" s="206"/>
      <c r="L9" s="206"/>
      <c r="M9" s="206"/>
      <c r="N9" s="206"/>
      <c r="O9" s="206"/>
      <c r="P9" s="210"/>
      <c r="Q9" s="206" t="s">
        <v>110</v>
      </c>
      <c r="R9" s="211" t="s">
        <v>111</v>
      </c>
      <c r="S9" s="206" t="s">
        <v>112</v>
      </c>
      <c r="T9" s="206" t="s">
        <v>113</v>
      </c>
      <c r="U9" s="206" t="s">
        <v>114</v>
      </c>
      <c r="V9" s="206"/>
    </row>
    <row r="10" spans="2:22" ht="11.25">
      <c r="B10" s="206"/>
      <c r="C10" s="206"/>
      <c r="D10" s="206"/>
      <c r="E10" s="206"/>
      <c r="F10" s="206"/>
      <c r="G10" s="206" t="s">
        <v>115</v>
      </c>
      <c r="H10" s="206"/>
      <c r="I10" s="206"/>
      <c r="J10" s="206"/>
      <c r="K10" s="206"/>
      <c r="L10" s="206"/>
      <c r="M10" s="206"/>
      <c r="N10" s="206"/>
      <c r="O10" s="206" t="s">
        <v>116</v>
      </c>
      <c r="P10" s="210">
        <v>3991226</v>
      </c>
      <c r="Q10" s="215">
        <f>-AD38</f>
        <v>0</v>
      </c>
      <c r="R10" s="216">
        <f>-(P10-Q10)</f>
        <v>-3991226</v>
      </c>
      <c r="S10" s="206"/>
      <c r="T10" s="206"/>
      <c r="U10" s="206"/>
      <c r="V10" s="206"/>
    </row>
    <row r="11" spans="2:22" ht="11.25">
      <c r="B11" s="206"/>
      <c r="C11" s="206"/>
      <c r="D11" s="206"/>
      <c r="E11" s="206"/>
      <c r="F11" s="217"/>
      <c r="G11" s="209">
        <v>0.045</v>
      </c>
      <c r="H11" s="209"/>
      <c r="I11" s="206"/>
      <c r="J11" s="206"/>
      <c r="K11" s="215"/>
      <c r="L11" s="215"/>
      <c r="M11" s="215"/>
      <c r="N11" s="215"/>
      <c r="O11" s="206" t="s">
        <v>117</v>
      </c>
      <c r="P11" s="210"/>
      <c r="Q11" s="215"/>
      <c r="R11" s="215">
        <f>R10+U11</f>
        <v>-2791226</v>
      </c>
      <c r="S11" s="206"/>
      <c r="T11" s="206"/>
      <c r="U11" s="216">
        <v>1200000</v>
      </c>
      <c r="V11" s="206"/>
    </row>
    <row r="12" spans="4:22" ht="11.25">
      <c r="D12" s="206"/>
      <c r="E12" s="206"/>
      <c r="F12" s="217"/>
      <c r="G12" s="206" t="s">
        <v>118</v>
      </c>
      <c r="H12" s="206"/>
      <c r="I12" s="206"/>
      <c r="J12" s="206"/>
      <c r="K12" s="215"/>
      <c r="L12" s="215"/>
      <c r="M12" s="215"/>
      <c r="N12" s="215"/>
      <c r="O12" s="217" t="s">
        <v>119</v>
      </c>
      <c r="P12" s="210">
        <v>703630</v>
      </c>
      <c r="Q12" s="206"/>
      <c r="R12" s="215" t="e">
        <f aca="true" t="shared" si="0" ref="R12:R30">R11-P12+S12+U12</f>
        <v>#REF!</v>
      </c>
      <c r="S12" s="215" t="e">
        <f>(-P12/2+R10)*#REF!/12</f>
        <v>#REF!</v>
      </c>
      <c r="T12" s="215" t="e">
        <f>S12+Q10</f>
        <v>#REF!</v>
      </c>
      <c r="U12" s="206"/>
      <c r="V12" s="215" t="e">
        <f>R11-P12+S12</f>
        <v>#REF!</v>
      </c>
    </row>
    <row r="13" spans="7:22" ht="11.25">
      <c r="G13" s="212">
        <f>0.0215+0.01</f>
        <v>0.0315</v>
      </c>
      <c r="H13" s="212"/>
      <c r="I13" s="206" t="s">
        <v>120</v>
      </c>
      <c r="J13" s="206"/>
      <c r="O13" s="217" t="s">
        <v>121</v>
      </c>
      <c r="P13" s="210">
        <v>55294</v>
      </c>
      <c r="Q13" s="206"/>
      <c r="R13" s="215" t="e">
        <f t="shared" si="0"/>
        <v>#REF!</v>
      </c>
      <c r="S13" s="215" t="e">
        <f>(-P13/2+R12)*#REF!/12</f>
        <v>#REF!</v>
      </c>
      <c r="T13" s="215" t="e">
        <f>T12+S13</f>
        <v>#REF!</v>
      </c>
      <c r="U13" s="206"/>
      <c r="V13" s="206"/>
    </row>
    <row r="14" spans="15:22" ht="11.25">
      <c r="O14" s="217" t="s">
        <v>122</v>
      </c>
      <c r="P14" s="210">
        <v>126237</v>
      </c>
      <c r="Q14" s="206"/>
      <c r="R14" s="215" t="e">
        <f t="shared" si="0"/>
        <v>#REF!</v>
      </c>
      <c r="S14" s="215" t="e">
        <f>(-P14/2+R13)*#REF!/12</f>
        <v>#REF!</v>
      </c>
      <c r="T14" s="215" t="e">
        <f aca="true" t="shared" si="1" ref="T14:T30">T13+S14</f>
        <v>#REF!</v>
      </c>
      <c r="U14" s="206"/>
      <c r="V14" s="206"/>
    </row>
    <row r="15" spans="15:22" ht="11.25">
      <c r="O15" s="217" t="s">
        <v>123</v>
      </c>
      <c r="P15" s="210">
        <v>102778</v>
      </c>
      <c r="Q15" s="206"/>
      <c r="R15" s="215" t="e">
        <f t="shared" si="0"/>
        <v>#REF!</v>
      </c>
      <c r="S15" s="215" t="e">
        <f>(-P15/2+R14)*#REF!/12</f>
        <v>#REF!</v>
      </c>
      <c r="T15" s="215" t="e">
        <f t="shared" si="1"/>
        <v>#REF!</v>
      </c>
      <c r="U15" s="206"/>
      <c r="V15" s="206"/>
    </row>
    <row r="16" spans="5:22" ht="11.25">
      <c r="E16" s="208" t="s">
        <v>124</v>
      </c>
      <c r="I16" s="207">
        <v>3500000</v>
      </c>
      <c r="O16" s="217" t="s">
        <v>109</v>
      </c>
      <c r="P16" s="210">
        <v>363605</v>
      </c>
      <c r="Q16" s="206"/>
      <c r="R16" s="215" t="e">
        <f t="shared" si="0"/>
        <v>#REF!</v>
      </c>
      <c r="S16" s="215" t="e">
        <f>(-P16/2+R15)*#REF!/12</f>
        <v>#REF!</v>
      </c>
      <c r="T16" s="215" t="e">
        <f t="shared" si="1"/>
        <v>#REF!</v>
      </c>
      <c r="U16" s="206"/>
      <c r="V16" s="206"/>
    </row>
    <row r="17" spans="15:22" ht="11.25">
      <c r="O17" s="217" t="s">
        <v>125</v>
      </c>
      <c r="P17" s="210">
        <v>441137</v>
      </c>
      <c r="Q17" s="206"/>
      <c r="R17" s="215" t="e">
        <f t="shared" si="0"/>
        <v>#REF!</v>
      </c>
      <c r="S17" s="215" t="e">
        <f>(-P17/2+R16)*#REF!/12</f>
        <v>#REF!</v>
      </c>
      <c r="T17" s="215" t="e">
        <f t="shared" si="1"/>
        <v>#REF!</v>
      </c>
      <c r="U17" s="206"/>
      <c r="V17" s="206"/>
    </row>
    <row r="18" spans="10:22" ht="11.25">
      <c r="J18" s="211" t="s">
        <v>111</v>
      </c>
      <c r="K18" s="206" t="s">
        <v>112</v>
      </c>
      <c r="L18" s="206" t="s">
        <v>113</v>
      </c>
      <c r="O18" s="217" t="s">
        <v>126</v>
      </c>
      <c r="P18" s="210">
        <v>822731</v>
      </c>
      <c r="Q18" s="206"/>
      <c r="R18" s="215" t="e">
        <f t="shared" si="0"/>
        <v>#REF!</v>
      </c>
      <c r="S18" s="215" t="e">
        <f>(-P18/2+R17)*#REF!/12</f>
        <v>#REF!</v>
      </c>
      <c r="T18" s="215" t="e">
        <f t="shared" si="1"/>
        <v>#REF!</v>
      </c>
      <c r="U18" s="206"/>
      <c r="V18" s="206"/>
    </row>
    <row r="19" spans="6:22" ht="12" thickBot="1">
      <c r="F19" s="208" t="s">
        <v>127</v>
      </c>
      <c r="I19" s="218">
        <v>40542</v>
      </c>
      <c r="J19" s="219">
        <f>I16-I19</f>
        <v>3459458</v>
      </c>
      <c r="L19" s="207">
        <f>K19</f>
        <v>0</v>
      </c>
      <c r="O19" s="217" t="s">
        <v>128</v>
      </c>
      <c r="P19" s="210">
        <v>1527528</v>
      </c>
      <c r="Q19" s="206"/>
      <c r="R19" s="215" t="e">
        <f t="shared" si="0"/>
        <v>#REF!</v>
      </c>
      <c r="S19" s="215" t="e">
        <f>(-P19/2+R18)*#REF!/12</f>
        <v>#REF!</v>
      </c>
      <c r="T19" s="215" t="e">
        <f t="shared" si="1"/>
        <v>#REF!</v>
      </c>
      <c r="U19" s="206"/>
      <c r="V19" s="206"/>
    </row>
    <row r="20" spans="6:22" ht="11.25">
      <c r="F20" s="220" t="s">
        <v>77</v>
      </c>
      <c r="G20" s="221">
        <v>1998</v>
      </c>
      <c r="H20" s="221"/>
      <c r="I20" s="208">
        <f>'[4]Project Summary to Date'!F4</f>
        <v>3559.15</v>
      </c>
      <c r="J20" s="207">
        <f aca="true" t="shared" si="2" ref="J20:J49">J19-I20</f>
        <v>3455898.85</v>
      </c>
      <c r="L20" s="207">
        <f>K20+L19</f>
        <v>0</v>
      </c>
      <c r="O20" s="217" t="s">
        <v>129</v>
      </c>
      <c r="P20" s="210">
        <v>1617046</v>
      </c>
      <c r="Q20" s="206"/>
      <c r="R20" s="215" t="e">
        <f t="shared" si="0"/>
        <v>#REF!</v>
      </c>
      <c r="S20" s="215" t="e">
        <f>(-P20/2+R19)*#REF!/12</f>
        <v>#REF!</v>
      </c>
      <c r="T20" s="215" t="e">
        <f t="shared" si="1"/>
        <v>#REF!</v>
      </c>
      <c r="U20" s="206"/>
      <c r="V20" s="206"/>
    </row>
    <row r="21" spans="6:22" ht="11.25">
      <c r="F21" s="220" t="s">
        <v>79</v>
      </c>
      <c r="G21" s="221">
        <v>1998</v>
      </c>
      <c r="H21" s="221"/>
      <c r="I21" s="208">
        <f>'[4]Project Summary to Date'!F5</f>
        <v>15556.57</v>
      </c>
      <c r="J21" s="207">
        <f t="shared" si="2"/>
        <v>3440342.2800000003</v>
      </c>
      <c r="L21" s="207">
        <f aca="true" t="shared" si="3" ref="L21:L72">K21+L20</f>
        <v>0</v>
      </c>
      <c r="O21" s="217" t="s">
        <v>130</v>
      </c>
      <c r="P21" s="210">
        <v>1678752</v>
      </c>
      <c r="Q21" s="206"/>
      <c r="R21" s="215" t="e">
        <f t="shared" si="0"/>
        <v>#REF!</v>
      </c>
      <c r="S21" s="215" t="e">
        <f>(-P21/2+R20)*#REF!/12</f>
        <v>#REF!</v>
      </c>
      <c r="T21" s="215" t="e">
        <f t="shared" si="1"/>
        <v>#REF!</v>
      </c>
      <c r="U21" s="206"/>
      <c r="V21" s="206"/>
    </row>
    <row r="22" spans="6:22" ht="11.25">
      <c r="F22" s="220" t="s">
        <v>80</v>
      </c>
      <c r="G22" s="221">
        <v>1998</v>
      </c>
      <c r="H22" s="221"/>
      <c r="I22" s="208">
        <f>'[4]Project Summary to Date'!F6</f>
        <v>36224.56</v>
      </c>
      <c r="J22" s="207">
        <f t="shared" si="2"/>
        <v>3404117.72</v>
      </c>
      <c r="L22" s="207">
        <f t="shared" si="3"/>
        <v>0</v>
      </c>
      <c r="O22" s="217" t="s">
        <v>131</v>
      </c>
      <c r="P22" s="210">
        <v>1902537</v>
      </c>
      <c r="Q22" s="206"/>
      <c r="R22" s="215" t="e">
        <f t="shared" si="0"/>
        <v>#REF!</v>
      </c>
      <c r="S22" s="215" t="e">
        <f>(-P22/2+R21)*#REF!/12</f>
        <v>#REF!</v>
      </c>
      <c r="T22" s="215" t="e">
        <f t="shared" si="1"/>
        <v>#REF!</v>
      </c>
      <c r="U22" s="206"/>
      <c r="V22" s="206"/>
    </row>
    <row r="23" spans="6:22" ht="11.25">
      <c r="F23" s="220" t="s">
        <v>81</v>
      </c>
      <c r="G23" s="221">
        <v>1998</v>
      </c>
      <c r="H23" s="221"/>
      <c r="I23" s="208">
        <f>'[4]Project Summary to Date'!F7</f>
        <v>45994.05</v>
      </c>
      <c r="J23" s="207">
        <f t="shared" si="2"/>
        <v>3358123.6700000004</v>
      </c>
      <c r="L23" s="207">
        <f t="shared" si="3"/>
        <v>0</v>
      </c>
      <c r="O23" s="217" t="s">
        <v>132</v>
      </c>
      <c r="P23" s="210">
        <v>2894178</v>
      </c>
      <c r="Q23" s="206"/>
      <c r="R23" s="215" t="e">
        <f t="shared" si="0"/>
        <v>#REF!</v>
      </c>
      <c r="S23" s="215" t="e">
        <f>(-P23/2+R22)*#REF!/12</f>
        <v>#REF!</v>
      </c>
      <c r="T23" s="215" t="e">
        <f t="shared" si="1"/>
        <v>#REF!</v>
      </c>
      <c r="U23" s="206"/>
      <c r="V23" s="206"/>
    </row>
    <row r="24" spans="6:22" ht="11.25">
      <c r="F24" s="220" t="s">
        <v>82</v>
      </c>
      <c r="G24" s="221">
        <v>1998</v>
      </c>
      <c r="H24" s="221"/>
      <c r="I24" s="208">
        <f>'[4]Project Summary to Date'!F8</f>
        <v>23298.68</v>
      </c>
      <c r="J24" s="207">
        <f t="shared" si="2"/>
        <v>3334824.99</v>
      </c>
      <c r="L24" s="207">
        <f t="shared" si="3"/>
        <v>0</v>
      </c>
      <c r="O24" s="217" t="s">
        <v>133</v>
      </c>
      <c r="P24" s="210">
        <v>2570666</v>
      </c>
      <c r="Q24" s="206"/>
      <c r="R24" s="215" t="e">
        <f t="shared" si="0"/>
        <v>#REF!</v>
      </c>
      <c r="S24" s="215" t="e">
        <f>(-P24/2+R23+U24)*#REF!/12</f>
        <v>#REF!</v>
      </c>
      <c r="T24" s="215" t="e">
        <f t="shared" si="1"/>
        <v>#REF!</v>
      </c>
      <c r="U24" s="59"/>
      <c r="V24" s="206" t="s">
        <v>134</v>
      </c>
    </row>
    <row r="25" spans="6:22" ht="11.25">
      <c r="F25" s="220" t="s">
        <v>83</v>
      </c>
      <c r="G25" s="221">
        <v>1998</v>
      </c>
      <c r="H25" s="221"/>
      <c r="I25" s="208">
        <f>'[4]Project Summary to Date'!F9</f>
        <v>20570</v>
      </c>
      <c r="J25" s="207">
        <f t="shared" si="2"/>
        <v>3314254.99</v>
      </c>
      <c r="L25" s="207">
        <f t="shared" si="3"/>
        <v>0</v>
      </c>
      <c r="O25" s="217" t="s">
        <v>135</v>
      </c>
      <c r="P25" s="210">
        <v>2011257</v>
      </c>
      <c r="Q25" s="206"/>
      <c r="R25" s="215" t="e">
        <f t="shared" si="0"/>
        <v>#REF!</v>
      </c>
      <c r="S25" s="215" t="e">
        <f>(-P25/2+R24+U25)*#REF!/12</f>
        <v>#REF!</v>
      </c>
      <c r="T25" s="215" t="e">
        <f t="shared" si="1"/>
        <v>#REF!</v>
      </c>
      <c r="U25" s="206"/>
      <c r="V25" s="206"/>
    </row>
    <row r="26" spans="6:22" ht="11.25">
      <c r="F26" s="220" t="s">
        <v>84</v>
      </c>
      <c r="G26" s="221">
        <v>1998</v>
      </c>
      <c r="H26" s="221"/>
      <c r="I26" s="208">
        <f>'[4]Project Summary to Date'!F10</f>
        <v>56304</v>
      </c>
      <c r="J26" s="207">
        <f t="shared" si="2"/>
        <v>3257950.99</v>
      </c>
      <c r="L26" s="207">
        <f t="shared" si="3"/>
        <v>0</v>
      </c>
      <c r="O26" s="217" t="s">
        <v>136</v>
      </c>
      <c r="P26" s="210">
        <v>2322402</v>
      </c>
      <c r="Q26" s="206"/>
      <c r="R26" s="215" t="e">
        <f t="shared" si="0"/>
        <v>#REF!</v>
      </c>
      <c r="S26" s="215" t="e">
        <f>(-P26/2+R25+U26)*#REF!/12</f>
        <v>#REF!</v>
      </c>
      <c r="T26" s="215" t="e">
        <f t="shared" si="1"/>
        <v>#REF!</v>
      </c>
      <c r="U26" s="206"/>
      <c r="V26" s="206"/>
    </row>
    <row r="27" spans="6:22" ht="11.25">
      <c r="F27" s="220" t="s">
        <v>85</v>
      </c>
      <c r="G27" s="221">
        <v>1998</v>
      </c>
      <c r="H27" s="221"/>
      <c r="I27" s="208">
        <f>'[4]Project Summary to Date'!F11</f>
        <v>52194.2</v>
      </c>
      <c r="J27" s="207">
        <f t="shared" si="2"/>
        <v>3205756.79</v>
      </c>
      <c r="L27" s="207">
        <f t="shared" si="3"/>
        <v>0</v>
      </c>
      <c r="O27" s="217" t="s">
        <v>137</v>
      </c>
      <c r="P27" s="210">
        <v>2635600</v>
      </c>
      <c r="Q27" s="206"/>
      <c r="R27" s="215" t="e">
        <f t="shared" si="0"/>
        <v>#REF!</v>
      </c>
      <c r="S27" s="215" t="e">
        <f>(-P27/2+R26+U27)*#REF!/12</f>
        <v>#REF!</v>
      </c>
      <c r="T27" s="215" t="e">
        <f t="shared" si="1"/>
        <v>#REF!</v>
      </c>
      <c r="U27" s="206"/>
      <c r="V27" s="206"/>
    </row>
    <row r="28" spans="6:22" ht="11.25">
      <c r="F28" s="220" t="s">
        <v>86</v>
      </c>
      <c r="G28" s="221">
        <v>1998</v>
      </c>
      <c r="H28" s="221"/>
      <c r="I28" s="208">
        <f>'[4]Project Summary to Date'!F12</f>
        <v>44569.85</v>
      </c>
      <c r="J28" s="207">
        <f t="shared" si="2"/>
        <v>3161186.94</v>
      </c>
      <c r="L28" s="207">
        <f t="shared" si="3"/>
        <v>0</v>
      </c>
      <c r="O28" s="217" t="s">
        <v>138</v>
      </c>
      <c r="P28" s="210">
        <v>3016391</v>
      </c>
      <c r="Q28" s="206"/>
      <c r="R28" s="215" t="e">
        <f t="shared" si="0"/>
        <v>#REF!</v>
      </c>
      <c r="S28" s="215" t="e">
        <f>(-P28/2+R27+U28)*#REF!/12</f>
        <v>#REF!</v>
      </c>
      <c r="T28" s="215" t="e">
        <f t="shared" si="1"/>
        <v>#REF!</v>
      </c>
      <c r="U28" s="206"/>
      <c r="V28" s="206"/>
    </row>
    <row r="29" spans="6:22" ht="11.25">
      <c r="F29" s="220" t="s">
        <v>87</v>
      </c>
      <c r="G29" s="221">
        <v>1998</v>
      </c>
      <c r="H29" s="221"/>
      <c r="I29" s="208">
        <f>'[4]Project Summary to Date'!F13</f>
        <v>11367.63</v>
      </c>
      <c r="J29" s="207">
        <f t="shared" si="2"/>
        <v>3149819.31</v>
      </c>
      <c r="L29" s="207">
        <f t="shared" si="3"/>
        <v>0</v>
      </c>
      <c r="O29" s="217" t="s">
        <v>139</v>
      </c>
      <c r="P29" s="210">
        <v>1752702</v>
      </c>
      <c r="Q29" s="206"/>
      <c r="R29" s="215" t="e">
        <f t="shared" si="0"/>
        <v>#REF!</v>
      </c>
      <c r="S29" s="215" t="e">
        <f>(-P29/2+R28+U29)*#REF!/12</f>
        <v>#REF!</v>
      </c>
      <c r="T29" s="215" t="e">
        <f t="shared" si="1"/>
        <v>#REF!</v>
      </c>
      <c r="U29" s="206"/>
      <c r="V29" s="206"/>
    </row>
    <row r="30" spans="6:22" ht="11.25">
      <c r="F30" s="220" t="s">
        <v>88</v>
      </c>
      <c r="G30" s="221">
        <v>1998</v>
      </c>
      <c r="H30" s="221"/>
      <c r="I30" s="208">
        <f>'[4]Project Summary to Date'!F14</f>
        <v>55594.88</v>
      </c>
      <c r="J30" s="207">
        <f t="shared" si="2"/>
        <v>3094224.43</v>
      </c>
      <c r="L30" s="207">
        <f t="shared" si="3"/>
        <v>0</v>
      </c>
      <c r="O30" s="217" t="s">
        <v>140</v>
      </c>
      <c r="P30" s="210">
        <v>65224</v>
      </c>
      <c r="Q30" s="206"/>
      <c r="R30" s="215" t="e">
        <f t="shared" si="0"/>
        <v>#REF!</v>
      </c>
      <c r="S30" s="215" t="e">
        <f>(-P30/2+R29+U30)*#REF!/12</f>
        <v>#REF!</v>
      </c>
      <c r="T30" s="215" t="e">
        <f t="shared" si="1"/>
        <v>#REF!</v>
      </c>
      <c r="U30" s="59">
        <v>30025000</v>
      </c>
      <c r="V30" s="206"/>
    </row>
    <row r="31" spans="6:22" ht="11.25">
      <c r="F31" s="220" t="s">
        <v>89</v>
      </c>
      <c r="G31" s="221">
        <v>1998</v>
      </c>
      <c r="H31" s="221"/>
      <c r="I31" s="208">
        <f>'[4]Project Summary to Date'!F15</f>
        <v>315114.38</v>
      </c>
      <c r="J31" s="207">
        <f t="shared" si="2"/>
        <v>2779110.0500000003</v>
      </c>
      <c r="L31" s="207">
        <f t="shared" si="3"/>
        <v>0</v>
      </c>
      <c r="O31" s="214" t="s">
        <v>141</v>
      </c>
      <c r="P31" s="222">
        <f>SUM(P10:P30)</f>
        <v>30600921</v>
      </c>
      <c r="Q31" s="206"/>
      <c r="R31" s="211"/>
      <c r="S31" s="215" t="e">
        <f>SUM(S12:S30)</f>
        <v>#REF!</v>
      </c>
      <c r="T31" s="206"/>
      <c r="U31" s="206"/>
      <c r="V31" s="206"/>
    </row>
    <row r="32" spans="6:22" ht="11.25">
      <c r="F32" s="220" t="s">
        <v>77</v>
      </c>
      <c r="G32" s="221">
        <v>1999</v>
      </c>
      <c r="H32" s="221"/>
      <c r="I32" s="208">
        <f>'[4]Project Summary to Date'!F16</f>
        <v>43082.28</v>
      </c>
      <c r="J32" s="207">
        <f t="shared" si="2"/>
        <v>2736027.7700000005</v>
      </c>
      <c r="L32" s="207">
        <f t="shared" si="3"/>
        <v>0</v>
      </c>
      <c r="O32" s="206"/>
      <c r="P32" s="210"/>
      <c r="Q32" s="206"/>
      <c r="R32" s="211"/>
      <c r="S32" s="215" t="e">
        <f>S31+Q10</f>
        <v>#REF!</v>
      </c>
      <c r="T32" s="206"/>
      <c r="U32" s="216">
        <f>SUM(U12:U30)</f>
        <v>30025000</v>
      </c>
      <c r="V32" s="206"/>
    </row>
    <row r="33" spans="6:22" ht="11.25">
      <c r="F33" s="220" t="s">
        <v>79</v>
      </c>
      <c r="G33" s="221">
        <v>1999</v>
      </c>
      <c r="H33" s="221"/>
      <c r="I33" s="208">
        <f>'[4]Project Summary to Date'!F17</f>
        <v>303987.95</v>
      </c>
      <c r="J33" s="207">
        <f t="shared" si="2"/>
        <v>2432039.8200000003</v>
      </c>
      <c r="L33" s="207">
        <f t="shared" si="3"/>
        <v>0</v>
      </c>
      <c r="O33" s="206" t="s">
        <v>142</v>
      </c>
      <c r="P33" s="210"/>
      <c r="Q33" s="206"/>
      <c r="R33" s="211"/>
      <c r="S33" s="206"/>
      <c r="T33" s="206"/>
      <c r="U33" s="206"/>
      <c r="V33" s="206"/>
    </row>
    <row r="34" spans="6:25" ht="11.25">
      <c r="F34" s="220" t="s">
        <v>80</v>
      </c>
      <c r="G34" s="221">
        <v>1999</v>
      </c>
      <c r="H34" s="221"/>
      <c r="I34" s="208">
        <f>'[4]Project Summary to Date'!F18</f>
        <v>89554.73</v>
      </c>
      <c r="J34" s="207">
        <f t="shared" si="2"/>
        <v>2342485.0900000003</v>
      </c>
      <c r="L34" s="207">
        <f t="shared" si="3"/>
        <v>0</v>
      </c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</row>
    <row r="35" spans="6:25" ht="11.25">
      <c r="F35" s="220" t="s">
        <v>81</v>
      </c>
      <c r="G35" s="221">
        <v>1999</v>
      </c>
      <c r="H35" s="221"/>
      <c r="I35" s="208">
        <f>'[4]Project Summary to Date'!F19</f>
        <v>126012.08</v>
      </c>
      <c r="J35" s="207">
        <f t="shared" si="2"/>
        <v>2216473.0100000002</v>
      </c>
      <c r="L35" s="207">
        <f t="shared" si="3"/>
        <v>0</v>
      </c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</row>
    <row r="36" spans="6:25" ht="11.25">
      <c r="F36" s="220" t="s">
        <v>82</v>
      </c>
      <c r="G36" s="221">
        <v>1999</v>
      </c>
      <c r="H36" s="221"/>
      <c r="I36" s="208">
        <f>'[4]Project Summary to Date'!F20</f>
        <v>37868.06</v>
      </c>
      <c r="J36" s="207">
        <f t="shared" si="2"/>
        <v>2178604.95</v>
      </c>
      <c r="L36" s="207">
        <f t="shared" si="3"/>
        <v>0</v>
      </c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</row>
    <row r="37" spans="6:25" ht="11.25">
      <c r="F37" s="220" t="s">
        <v>83</v>
      </c>
      <c r="G37" s="221">
        <v>1999</v>
      </c>
      <c r="H37" s="221"/>
      <c r="I37" s="208">
        <f>'[4]Project Summary to Date'!F21</f>
        <v>20191.52</v>
      </c>
      <c r="J37" s="207">
        <f t="shared" si="2"/>
        <v>2158413.43</v>
      </c>
      <c r="L37" s="207">
        <f t="shared" si="3"/>
        <v>0</v>
      </c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</row>
    <row r="38" spans="6:25" ht="11.25">
      <c r="F38" s="220" t="s">
        <v>84</v>
      </c>
      <c r="G38" s="221">
        <v>1999</v>
      </c>
      <c r="H38" s="221"/>
      <c r="I38" s="208">
        <f>'[4]Project Summary to Date'!F22</f>
        <v>99259.4</v>
      </c>
      <c r="J38" s="207">
        <f t="shared" si="2"/>
        <v>2059154.0300000003</v>
      </c>
      <c r="L38" s="207">
        <f t="shared" si="3"/>
        <v>0</v>
      </c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</row>
    <row r="39" spans="6:25" ht="11.25">
      <c r="F39" s="220" t="s">
        <v>85</v>
      </c>
      <c r="G39" s="221">
        <v>1999</v>
      </c>
      <c r="H39" s="221"/>
      <c r="I39" s="208">
        <f>'[4]Project Summary to Date'!F23</f>
        <v>125328.63</v>
      </c>
      <c r="J39" s="207">
        <f t="shared" si="2"/>
        <v>1933825.4000000004</v>
      </c>
      <c r="L39" s="207">
        <f t="shared" si="3"/>
        <v>0</v>
      </c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</row>
    <row r="40" spans="6:25" ht="11.25">
      <c r="F40" s="220" t="s">
        <v>86</v>
      </c>
      <c r="G40" s="221">
        <v>1999</v>
      </c>
      <c r="H40" s="221"/>
      <c r="I40" s="208">
        <f>'[4]Project Summary to Date'!F24</f>
        <v>34236.98</v>
      </c>
      <c r="J40" s="207">
        <f t="shared" si="2"/>
        <v>1899588.4200000004</v>
      </c>
      <c r="L40" s="207">
        <f t="shared" si="3"/>
        <v>0</v>
      </c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</row>
    <row r="41" spans="6:25" ht="11.25">
      <c r="F41" s="220" t="s">
        <v>87</v>
      </c>
      <c r="G41" s="221">
        <v>1999</v>
      </c>
      <c r="H41" s="221"/>
      <c r="I41" s="208">
        <f>'[4]Project Summary to Date'!F25</f>
        <v>17327.55</v>
      </c>
      <c r="J41" s="207">
        <f t="shared" si="2"/>
        <v>1882260.8700000003</v>
      </c>
      <c r="L41" s="207">
        <f t="shared" si="3"/>
        <v>0</v>
      </c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</row>
    <row r="42" spans="6:25" ht="11.25">
      <c r="F42" s="220" t="s">
        <v>88</v>
      </c>
      <c r="G42" s="221">
        <v>1999</v>
      </c>
      <c r="H42" s="221"/>
      <c r="I42" s="208">
        <f>'[4]Project Summary to Date'!F26</f>
        <v>3205.31</v>
      </c>
      <c r="J42" s="207">
        <f t="shared" si="2"/>
        <v>1879055.5600000003</v>
      </c>
      <c r="L42" s="207">
        <f t="shared" si="3"/>
        <v>0</v>
      </c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</row>
    <row r="43" spans="6:25" ht="11.25">
      <c r="F43" s="220" t="s">
        <v>89</v>
      </c>
      <c r="G43" s="221">
        <v>1999</v>
      </c>
      <c r="H43" s="221"/>
      <c r="I43" s="208">
        <f>'[4]Project Summary to Date'!F27</f>
        <v>278664.88</v>
      </c>
      <c r="J43" s="207">
        <f t="shared" si="2"/>
        <v>1600390.6800000002</v>
      </c>
      <c r="L43" s="207">
        <f t="shared" si="3"/>
        <v>0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</row>
    <row r="44" spans="6:25" ht="11.25">
      <c r="F44" s="220" t="s">
        <v>77</v>
      </c>
      <c r="G44" s="221">
        <v>2000</v>
      </c>
      <c r="H44" s="221"/>
      <c r="I44" s="208">
        <f>'[4]Project Summary to Date'!F28</f>
        <v>10798.05</v>
      </c>
      <c r="J44" s="207">
        <f t="shared" si="2"/>
        <v>1589592.6300000001</v>
      </c>
      <c r="L44" s="207">
        <f t="shared" si="3"/>
        <v>0</v>
      </c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</row>
    <row r="45" spans="6:25" ht="11.25">
      <c r="F45" s="220" t="s">
        <v>79</v>
      </c>
      <c r="G45" s="221">
        <v>2000</v>
      </c>
      <c r="H45" s="221"/>
      <c r="I45" s="208">
        <f>'[4]Project Summary to Date'!F29</f>
        <v>202975.97</v>
      </c>
      <c r="J45" s="207">
        <f t="shared" si="2"/>
        <v>1386616.6600000001</v>
      </c>
      <c r="L45" s="207">
        <f t="shared" si="3"/>
        <v>0</v>
      </c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</row>
    <row r="46" spans="6:25" ht="11.25">
      <c r="F46" s="220" t="s">
        <v>80</v>
      </c>
      <c r="G46" s="221">
        <v>2000</v>
      </c>
      <c r="H46" s="221"/>
      <c r="I46" s="208">
        <f>'[4]Project Summary to Date'!F30</f>
        <v>387469.25</v>
      </c>
      <c r="J46" s="207">
        <f t="shared" si="2"/>
        <v>999147.4100000001</v>
      </c>
      <c r="L46" s="207">
        <f t="shared" si="3"/>
        <v>0</v>
      </c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</row>
    <row r="47" spans="6:22" ht="12" thickBot="1">
      <c r="F47" s="220" t="s">
        <v>81</v>
      </c>
      <c r="G47" s="221">
        <v>2000</v>
      </c>
      <c r="H47" s="221"/>
      <c r="I47" s="208">
        <f>'[4]Project Summary to Date'!F31</f>
        <v>3084.74</v>
      </c>
      <c r="J47" s="207">
        <f t="shared" si="2"/>
        <v>996062.6700000002</v>
      </c>
      <c r="L47" s="207">
        <f t="shared" si="3"/>
        <v>0</v>
      </c>
      <c r="O47" s="206"/>
      <c r="P47" s="210"/>
      <c r="Q47" s="206"/>
      <c r="R47" s="211"/>
      <c r="S47" s="206"/>
      <c r="T47" s="206"/>
      <c r="U47" s="206"/>
      <c r="V47" s="206" t="s">
        <v>143</v>
      </c>
    </row>
    <row r="48" spans="6:22" ht="11.25">
      <c r="F48" s="223" t="s">
        <v>82</v>
      </c>
      <c r="G48" s="224">
        <v>2000</v>
      </c>
      <c r="H48" s="224"/>
      <c r="I48" s="208">
        <f>'[4]Project Summary to Date'!F32</f>
        <v>396807.5</v>
      </c>
      <c r="J48" s="207">
        <f t="shared" si="2"/>
        <v>599255.1700000002</v>
      </c>
      <c r="L48" s="207">
        <f t="shared" si="3"/>
        <v>0</v>
      </c>
      <c r="O48" s="206"/>
      <c r="P48" s="210"/>
      <c r="Q48" s="206"/>
      <c r="R48" s="206" t="s">
        <v>144</v>
      </c>
      <c r="S48" s="210">
        <f>P31</f>
        <v>30600921</v>
      </c>
      <c r="T48" s="206"/>
      <c r="U48" s="206" t="s">
        <v>144</v>
      </c>
      <c r="V48" s="225">
        <v>30600921</v>
      </c>
    </row>
    <row r="49" spans="6:22" ht="11.25">
      <c r="F49" s="223" t="s">
        <v>91</v>
      </c>
      <c r="G49" s="224">
        <v>2000</v>
      </c>
      <c r="H49" s="224"/>
      <c r="I49" s="208">
        <f>'[4]Project Summary to Date'!F33</f>
        <v>225462.52000000002</v>
      </c>
      <c r="J49" s="207">
        <f t="shared" si="2"/>
        <v>373792.65000000014</v>
      </c>
      <c r="L49" s="207">
        <f t="shared" si="3"/>
        <v>0</v>
      </c>
      <c r="O49" s="206"/>
      <c r="P49" s="210"/>
      <c r="Q49" s="206"/>
      <c r="R49" s="206"/>
      <c r="S49" s="206"/>
      <c r="T49" s="206"/>
      <c r="U49" s="206"/>
      <c r="V49" s="226"/>
    </row>
    <row r="50" spans="6:22" ht="11.25">
      <c r="F50" s="220" t="s">
        <v>84</v>
      </c>
      <c r="G50" s="221">
        <v>2000</v>
      </c>
      <c r="H50" s="221"/>
      <c r="I50" s="208">
        <f>'[4]Project Summary to Date'!F34</f>
        <v>188125.96</v>
      </c>
      <c r="J50" s="215">
        <f>J49-I50+K50+M50</f>
        <v>185666.69000000015</v>
      </c>
      <c r="L50" s="207">
        <f t="shared" si="3"/>
        <v>0</v>
      </c>
      <c r="O50" s="206"/>
      <c r="P50" s="210"/>
      <c r="Q50" s="206"/>
      <c r="R50" s="206" t="s">
        <v>145</v>
      </c>
      <c r="S50" s="215">
        <f>U11</f>
        <v>1200000</v>
      </c>
      <c r="T50" s="206"/>
      <c r="U50" s="206" t="s">
        <v>145</v>
      </c>
      <c r="V50" s="226">
        <v>1200000</v>
      </c>
    </row>
    <row r="51" spans="6:22" ht="11.25">
      <c r="F51" s="223" t="s">
        <v>85</v>
      </c>
      <c r="G51" s="224">
        <v>2000</v>
      </c>
      <c r="H51" s="224"/>
      <c r="I51" s="208">
        <f>'[4]Project Summary to Date'!F35</f>
        <v>186271.58</v>
      </c>
      <c r="J51" s="215">
        <f aca="true" t="shared" si="4" ref="J51:J72">J50-I51+K51+M51</f>
        <v>-604.8899999998393</v>
      </c>
      <c r="K51" s="215"/>
      <c r="L51" s="207">
        <f t="shared" si="3"/>
        <v>0</v>
      </c>
      <c r="M51" s="215"/>
      <c r="O51" s="206"/>
      <c r="P51" s="210"/>
      <c r="Q51" s="206"/>
      <c r="R51" s="206" t="s">
        <v>146</v>
      </c>
      <c r="S51" s="219">
        <f>U32</f>
        <v>30025000</v>
      </c>
      <c r="T51" s="206"/>
      <c r="U51" s="206" t="s">
        <v>146</v>
      </c>
      <c r="V51" s="226">
        <v>29900000</v>
      </c>
    </row>
    <row r="52" spans="6:22" ht="11.25">
      <c r="F52" s="223" t="s">
        <v>86</v>
      </c>
      <c r="G52" s="224">
        <v>2000</v>
      </c>
      <c r="H52" s="224"/>
      <c r="I52" s="208">
        <f>'[4]Project Summary to Date'!F36</f>
        <v>160836.24</v>
      </c>
      <c r="J52" s="215">
        <f t="shared" si="4"/>
        <v>-161653.81540124983</v>
      </c>
      <c r="K52" s="215">
        <f>(-I52/2+J51+M52)*$G$13/12</f>
        <v>-212.6854012499996</v>
      </c>
      <c r="L52" s="207">
        <f t="shared" si="3"/>
        <v>-212.6854012499996</v>
      </c>
      <c r="O52" s="206"/>
      <c r="P52" s="210"/>
      <c r="Q52" s="206"/>
      <c r="R52" s="206"/>
      <c r="S52" s="206"/>
      <c r="T52" s="206"/>
      <c r="U52" s="206"/>
      <c r="V52" s="226"/>
    </row>
    <row r="53" spans="6:22" ht="11.25">
      <c r="F53" s="220" t="s">
        <v>87</v>
      </c>
      <c r="G53" s="221">
        <v>2000</v>
      </c>
      <c r="H53" s="221"/>
      <c r="I53" s="208">
        <f>'[4]Project Summary to Date'!F37</f>
        <v>63444.759999999995</v>
      </c>
      <c r="J53" s="215">
        <f t="shared" si="4"/>
        <v>-225606.1879141781</v>
      </c>
      <c r="K53" s="215">
        <f aca="true" t="shared" si="5" ref="K53:K72">(-I53/2+J52+M53)*$G$13/12</f>
        <v>-507.61251292828086</v>
      </c>
      <c r="L53" s="207">
        <f t="shared" si="3"/>
        <v>-720.2979141782805</v>
      </c>
      <c r="O53" s="206"/>
      <c r="P53" s="210"/>
      <c r="Q53" s="206"/>
      <c r="R53" s="206" t="s">
        <v>147</v>
      </c>
      <c r="S53" s="215" t="e">
        <f>T30</f>
        <v>#REF!</v>
      </c>
      <c r="T53" s="206"/>
      <c r="U53" s="206" t="s">
        <v>147</v>
      </c>
      <c r="V53" s="226">
        <v>-495264.0715855495</v>
      </c>
    </row>
    <row r="54" spans="6:22" ht="11.25">
      <c r="F54" s="223" t="s">
        <v>88</v>
      </c>
      <c r="G54" s="224">
        <v>2000</v>
      </c>
      <c r="H54" s="224"/>
      <c r="I54" s="208">
        <f>'[4]Project Summary to Date'!F38</f>
        <v>12594.77</v>
      </c>
      <c r="J54" s="215">
        <f t="shared" si="4"/>
        <v>-238809.7047930778</v>
      </c>
      <c r="K54" s="215">
        <f t="shared" si="5"/>
        <v>-608.7468788997176</v>
      </c>
      <c r="L54" s="207">
        <f t="shared" si="3"/>
        <v>-1329.044793077998</v>
      </c>
      <c r="O54" s="206"/>
      <c r="P54" s="210"/>
      <c r="Q54" s="206"/>
      <c r="R54" s="206" t="s">
        <v>148</v>
      </c>
      <c r="S54" s="215" t="e">
        <f>S50+S51+S53</f>
        <v>#REF!</v>
      </c>
      <c r="T54" s="206"/>
      <c r="U54" s="206" t="s">
        <v>148</v>
      </c>
      <c r="V54" s="226">
        <v>30604735.92841445</v>
      </c>
    </row>
    <row r="55" spans="6:22" ht="11.25">
      <c r="F55" s="223" t="s">
        <v>89</v>
      </c>
      <c r="G55" s="224">
        <v>2000</v>
      </c>
      <c r="H55" s="224"/>
      <c r="I55" s="208">
        <f>'[4]Project Summary to Date'!F39</f>
        <v>623403.06</v>
      </c>
      <c r="J55" s="215">
        <f t="shared" si="4"/>
        <v>-863657.8567844096</v>
      </c>
      <c r="K55" s="215">
        <f t="shared" si="5"/>
        <v>-1445.0919913318294</v>
      </c>
      <c r="L55" s="207">
        <f t="shared" si="3"/>
        <v>-2774.1367844098277</v>
      </c>
      <c r="O55" s="206"/>
      <c r="P55" s="210"/>
      <c r="Q55" s="206"/>
      <c r="R55" s="206"/>
      <c r="S55" s="206"/>
      <c r="T55" s="206"/>
      <c r="U55" s="206"/>
      <c r="V55" s="226"/>
    </row>
    <row r="56" spans="6:22" ht="12" thickBot="1">
      <c r="F56" s="223" t="s">
        <v>77</v>
      </c>
      <c r="G56" s="224">
        <v>2001</v>
      </c>
      <c r="H56" s="224"/>
      <c r="I56" s="208">
        <f>'[4]Project Summary to Date'!F40</f>
        <v>19436.05</v>
      </c>
      <c r="J56" s="215">
        <f t="shared" si="4"/>
        <v>-885386.5184740938</v>
      </c>
      <c r="K56" s="215">
        <f t="shared" si="5"/>
        <v>-2292.6116896840754</v>
      </c>
      <c r="L56" s="207">
        <f t="shared" si="3"/>
        <v>-5066.7484740939035</v>
      </c>
      <c r="O56" s="206"/>
      <c r="P56" s="210"/>
      <c r="Q56" s="206"/>
      <c r="R56" s="206" t="s">
        <v>149</v>
      </c>
      <c r="S56" s="215" t="e">
        <f>S54-S48</f>
        <v>#REF!</v>
      </c>
      <c r="T56" s="206"/>
      <c r="U56" s="206" t="s">
        <v>149</v>
      </c>
      <c r="V56" s="227">
        <v>3814.9284144490957</v>
      </c>
    </row>
    <row r="57" spans="6:22" ht="11.25">
      <c r="F57" s="220" t="s">
        <v>79</v>
      </c>
      <c r="G57" s="221">
        <v>2001</v>
      </c>
      <c r="H57" s="221"/>
      <c r="I57" s="208">
        <f>'[4]Project Summary to Date'!F41</f>
        <v>22998.03</v>
      </c>
      <c r="J57" s="215">
        <f t="shared" si="4"/>
        <v>-910738.8729994632</v>
      </c>
      <c r="K57" s="215">
        <f t="shared" si="5"/>
        <v>-2354.3245253694963</v>
      </c>
      <c r="L57" s="207">
        <f t="shared" si="3"/>
        <v>-7421.0729994634</v>
      </c>
      <c r="O57" s="206"/>
      <c r="P57" s="210"/>
      <c r="Q57" s="206"/>
      <c r="R57" s="211"/>
      <c r="S57" s="206"/>
      <c r="T57" s="206"/>
      <c r="U57" s="206"/>
      <c r="V57" s="206"/>
    </row>
    <row r="58" spans="6:22" ht="11.25">
      <c r="F58" s="223" t="s">
        <v>80</v>
      </c>
      <c r="G58" s="224">
        <v>2001</v>
      </c>
      <c r="H58" s="224"/>
      <c r="I58" s="208">
        <f>'[4]Project Summary to Date'!F42</f>
        <v>629610.2100000001</v>
      </c>
      <c r="J58" s="215">
        <f t="shared" si="4"/>
        <v>-1543566.1359417117</v>
      </c>
      <c r="K58" s="215">
        <f t="shared" si="5"/>
        <v>-3217.052942248591</v>
      </c>
      <c r="L58" s="207">
        <f t="shared" si="3"/>
        <v>-10638.12594171199</v>
      </c>
      <c r="O58" s="206"/>
      <c r="P58" s="210"/>
      <c r="Q58" s="206"/>
      <c r="R58" s="211"/>
      <c r="S58" s="215"/>
      <c r="T58" s="206"/>
      <c r="U58" s="206"/>
      <c r="V58" s="206"/>
    </row>
    <row r="59" spans="6:22" ht="11.25">
      <c r="F59" s="223" t="s">
        <v>81</v>
      </c>
      <c r="G59" s="224">
        <v>2001</v>
      </c>
      <c r="H59" s="224"/>
      <c r="I59" s="208">
        <f>'[4]Project Summary to Date'!F43</f>
        <v>119850.73</v>
      </c>
      <c r="J59" s="215">
        <f t="shared" si="4"/>
        <v>-1667626.0311316836</v>
      </c>
      <c r="K59" s="215">
        <f t="shared" si="5"/>
        <v>-4209.165189971994</v>
      </c>
      <c r="L59" s="207">
        <f t="shared" si="3"/>
        <v>-14847.291131683985</v>
      </c>
      <c r="O59" s="206"/>
      <c r="P59" s="210"/>
      <c r="Q59" s="206"/>
      <c r="R59" s="211"/>
      <c r="S59" s="215"/>
      <c r="T59" s="206"/>
      <c r="U59" s="206"/>
      <c r="V59" s="206"/>
    </row>
    <row r="60" spans="6:22" ht="11.25">
      <c r="F60" s="220" t="s">
        <v>82</v>
      </c>
      <c r="G60" s="221">
        <v>2001</v>
      </c>
      <c r="H60" s="221"/>
      <c r="I60" s="208">
        <f>'[4]Project Summary to Date'!F44</f>
        <v>494805.76999999996</v>
      </c>
      <c r="J60" s="215">
        <f t="shared" si="4"/>
        <v>-2167458.752036529</v>
      </c>
      <c r="K60" s="215">
        <f t="shared" si="5"/>
        <v>-5026.950904845669</v>
      </c>
      <c r="L60" s="207">
        <f t="shared" si="3"/>
        <v>-19874.242036529657</v>
      </c>
      <c r="O60" s="206"/>
      <c r="P60" s="210"/>
      <c r="Q60" s="206"/>
      <c r="R60" s="211"/>
      <c r="S60" s="215"/>
      <c r="T60" s="206"/>
      <c r="U60" s="206"/>
      <c r="V60" s="206"/>
    </row>
    <row r="61" spans="6:22" ht="11.25">
      <c r="F61" s="223" t="s">
        <v>83</v>
      </c>
      <c r="G61" s="224">
        <v>2001</v>
      </c>
      <c r="H61" s="224"/>
      <c r="I61" s="208">
        <f>'[4]Project Summary to Date'!F45</f>
        <v>529166.1</v>
      </c>
      <c r="J61" s="215">
        <f t="shared" si="4"/>
        <v>-2703008.961766875</v>
      </c>
      <c r="K61" s="215">
        <f t="shared" si="5"/>
        <v>-6384.109730345888</v>
      </c>
      <c r="L61" s="207">
        <f t="shared" si="3"/>
        <v>-26258.351766875545</v>
      </c>
      <c r="O61" s="206"/>
      <c r="P61" s="210"/>
      <c r="Q61" s="206"/>
      <c r="R61" s="211"/>
      <c r="S61" s="206"/>
      <c r="T61" s="206"/>
      <c r="U61" s="206"/>
      <c r="V61" s="206"/>
    </row>
    <row r="62" spans="6:22" ht="11.25">
      <c r="F62" s="220" t="s">
        <v>84</v>
      </c>
      <c r="G62" s="221">
        <v>2001</v>
      </c>
      <c r="H62" s="221"/>
      <c r="I62" s="208">
        <f>'[4]Project Summary to Date'!F46</f>
        <v>812196.52</v>
      </c>
      <c r="J62" s="215">
        <f t="shared" si="4"/>
        <v>-3523366.888224013</v>
      </c>
      <c r="K62" s="215">
        <f t="shared" si="5"/>
        <v>-8161.406457138048</v>
      </c>
      <c r="L62" s="207">
        <f t="shared" si="3"/>
        <v>-34419.758224013596</v>
      </c>
      <c r="O62" s="206"/>
      <c r="P62" s="210"/>
      <c r="Q62" s="206"/>
      <c r="R62" s="211"/>
      <c r="S62" s="215"/>
      <c r="T62" s="206"/>
      <c r="U62" s="206"/>
      <c r="V62" s="206"/>
    </row>
    <row r="63" spans="6:22" ht="11.25">
      <c r="F63" s="220" t="s">
        <v>85</v>
      </c>
      <c r="G63" s="221">
        <v>2001</v>
      </c>
      <c r="H63" s="221"/>
      <c r="I63" s="208">
        <f>'[4]Project Summary to Date'!F47</f>
        <v>558675.04</v>
      </c>
      <c r="J63" s="215">
        <f t="shared" si="4"/>
        <v>-4092024.027295601</v>
      </c>
      <c r="K63" s="215">
        <f t="shared" si="5"/>
        <v>-9982.099071588034</v>
      </c>
      <c r="L63" s="207">
        <f t="shared" si="3"/>
        <v>-44401.85729560163</v>
      </c>
      <c r="O63" s="206"/>
      <c r="P63" s="210"/>
      <c r="Q63" s="206"/>
      <c r="R63" s="211"/>
      <c r="S63" s="215"/>
      <c r="T63" s="206"/>
      <c r="U63" s="206"/>
      <c r="V63" s="206"/>
    </row>
    <row r="64" spans="6:22" ht="11.25">
      <c r="F64" s="223" t="s">
        <v>86</v>
      </c>
      <c r="G64" s="224">
        <v>2001</v>
      </c>
      <c r="H64" s="224"/>
      <c r="I64" s="208">
        <f>'[4]Project Summary to Date'!F48</f>
        <v>331099.95999999996</v>
      </c>
      <c r="J64" s="215">
        <f t="shared" si="4"/>
        <v>-4434300.119064752</v>
      </c>
      <c r="K64" s="215">
        <f t="shared" si="5"/>
        <v>-11176.131769150954</v>
      </c>
      <c r="L64" s="207">
        <f t="shared" si="3"/>
        <v>-55577.98906475258</v>
      </c>
      <c r="O64" s="206"/>
      <c r="P64" s="210"/>
      <c r="Q64" s="206"/>
      <c r="R64" s="211"/>
      <c r="S64" s="206"/>
      <c r="T64" s="206"/>
      <c r="U64" s="206"/>
      <c r="V64" s="206"/>
    </row>
    <row r="65" spans="6:22" ht="11.25">
      <c r="F65" s="220" t="s">
        <v>87</v>
      </c>
      <c r="G65" s="221">
        <v>2001</v>
      </c>
      <c r="H65" s="221"/>
      <c r="I65" s="208">
        <f>'[4]Project Summary to Date'!F49</f>
        <v>487306.7</v>
      </c>
      <c r="J65" s="215">
        <f t="shared" si="4"/>
        <v>-4933886.446921047</v>
      </c>
      <c r="K65" s="215">
        <f t="shared" si="5"/>
        <v>-12279.627856294974</v>
      </c>
      <c r="L65" s="207">
        <f t="shared" si="3"/>
        <v>-67857.61692104756</v>
      </c>
      <c r="O65" s="206"/>
      <c r="P65" s="210"/>
      <c r="Q65" s="206"/>
      <c r="R65" s="211"/>
      <c r="S65" s="206"/>
      <c r="T65" s="206"/>
      <c r="U65" s="206"/>
      <c r="V65" s="206"/>
    </row>
    <row r="66" spans="6:22" ht="11.25">
      <c r="F66" s="220" t="s">
        <v>88</v>
      </c>
      <c r="G66" s="221">
        <v>2001</v>
      </c>
      <c r="H66" s="221"/>
      <c r="I66" s="208">
        <f>'[4]Project Summary to Date'!F50</f>
        <v>142521.13</v>
      </c>
      <c r="J66" s="215">
        <f t="shared" si="4"/>
        <v>-5089546.08782734</v>
      </c>
      <c r="K66" s="215">
        <f t="shared" si="5"/>
        <v>-13138.51090629275</v>
      </c>
      <c r="L66" s="207">
        <f t="shared" si="3"/>
        <v>-80996.12782734031</v>
      </c>
      <c r="O66" s="206"/>
      <c r="P66" s="210"/>
      <c r="Q66" s="206"/>
      <c r="R66" s="211"/>
      <c r="S66" s="206"/>
      <c r="T66" s="206"/>
      <c r="U66" s="206"/>
      <c r="V66" s="206"/>
    </row>
    <row r="67" spans="6:12" ht="11.25">
      <c r="F67" s="223" t="s">
        <v>89</v>
      </c>
      <c r="G67" s="224">
        <v>2001</v>
      </c>
      <c r="H67" s="224"/>
      <c r="I67" s="208">
        <f>'[4]Project Summary to Date'!F51</f>
        <v>638349.99</v>
      </c>
      <c r="J67" s="215">
        <f t="shared" si="4"/>
        <v>-5742093.970669761</v>
      </c>
      <c r="K67" s="215">
        <f t="shared" si="5"/>
        <v>-14197.892842421767</v>
      </c>
      <c r="L67" s="207">
        <f t="shared" si="3"/>
        <v>-95194.02066976207</v>
      </c>
    </row>
    <row r="68" spans="6:12" ht="11.25">
      <c r="F68" s="220" t="s">
        <v>77</v>
      </c>
      <c r="G68" s="221">
        <v>2002</v>
      </c>
      <c r="H68" s="221"/>
      <c r="I68" s="208">
        <f>'[4]Project Summary to Date'!F52</f>
        <v>73839.51000000001</v>
      </c>
      <c r="J68" s="215">
        <f t="shared" si="4"/>
        <v>-5831103.391699644</v>
      </c>
      <c r="K68" s="215">
        <f t="shared" si="5"/>
        <v>-15169.911029883124</v>
      </c>
      <c r="L68" s="207">
        <f t="shared" si="3"/>
        <v>-110363.9316996452</v>
      </c>
    </row>
    <row r="69" spans="6:12" ht="11.25">
      <c r="F69" s="220" t="s">
        <v>79</v>
      </c>
      <c r="G69" s="221">
        <v>2002</v>
      </c>
      <c r="H69" s="221"/>
      <c r="I69" s="208">
        <f>'[4]Project Summary to Date'!F53</f>
        <v>158342.47999999998</v>
      </c>
      <c r="J69" s="215">
        <f t="shared" si="4"/>
        <v>-6004960.342607856</v>
      </c>
      <c r="K69" s="215">
        <f t="shared" si="5"/>
        <v>-15514.470908211566</v>
      </c>
      <c r="L69" s="207">
        <f t="shared" si="3"/>
        <v>-125878.40260785675</v>
      </c>
    </row>
    <row r="70" spans="5:12" ht="11.25">
      <c r="E70" s="207" t="s">
        <v>150</v>
      </c>
      <c r="F70" s="223" t="s">
        <v>80</v>
      </c>
      <c r="G70" s="224">
        <v>2002</v>
      </c>
      <c r="H70" s="224"/>
      <c r="I70" s="208">
        <f>(C78-I75)/3</f>
        <v>32711.832745097578</v>
      </c>
      <c r="J70" s="215">
        <f t="shared" si="4"/>
        <v>-6053478.130532777</v>
      </c>
      <c r="K70" s="215">
        <f t="shared" si="5"/>
        <v>-15805.955179823563</v>
      </c>
      <c r="L70" s="207">
        <f t="shared" si="3"/>
        <v>-141684.35778768032</v>
      </c>
    </row>
    <row r="71" spans="5:12" ht="11.25">
      <c r="E71" s="207" t="s">
        <v>150</v>
      </c>
      <c r="F71" s="223" t="s">
        <v>151</v>
      </c>
      <c r="G71" s="224">
        <v>2002</v>
      </c>
      <c r="H71" s="224"/>
      <c r="I71" s="208">
        <f>I70</f>
        <v>32711.832745097578</v>
      </c>
      <c r="J71" s="215">
        <f t="shared" si="4"/>
        <v>-6102123.277651001</v>
      </c>
      <c r="K71" s="215">
        <f t="shared" si="5"/>
        <v>-15933.314373126479</v>
      </c>
      <c r="L71" s="207">
        <f t="shared" si="3"/>
        <v>-157617.6721608068</v>
      </c>
    </row>
    <row r="72" spans="5:12" ht="11.25">
      <c r="E72" s="207" t="s">
        <v>150</v>
      </c>
      <c r="F72" s="223" t="s">
        <v>82</v>
      </c>
      <c r="G72" s="224">
        <v>2002</v>
      </c>
      <c r="H72" s="224"/>
      <c r="I72" s="208">
        <f>I71</f>
        <v>32711.832745097578</v>
      </c>
      <c r="J72" s="215">
        <f t="shared" si="4"/>
        <v>-6150896.11828041</v>
      </c>
      <c r="K72" s="215">
        <f t="shared" si="5"/>
        <v>-16061.007884311817</v>
      </c>
      <c r="L72" s="207">
        <f t="shared" si="3"/>
        <v>-173678.6800451186</v>
      </c>
    </row>
    <row r="73" spans="6:8" ht="11.25">
      <c r="F73" s="223"/>
      <c r="G73" s="224"/>
      <c r="H73" s="224"/>
    </row>
    <row r="74" spans="6:9" ht="11.25">
      <c r="F74" s="223"/>
      <c r="G74" s="224"/>
      <c r="H74" s="224"/>
      <c r="I74" s="208">
        <f>SUM(I20:I69)</f>
        <v>9338539.940000001</v>
      </c>
    </row>
    <row r="75" spans="6:11" ht="11.25">
      <c r="F75" s="220"/>
      <c r="G75" s="228" t="s">
        <v>152</v>
      </c>
      <c r="H75" s="228"/>
      <c r="I75" s="208">
        <v>9338539.940000001</v>
      </c>
      <c r="K75" s="207">
        <f>SUM(K51:K74)</f>
        <v>-173678.6800451186</v>
      </c>
    </row>
    <row r="76" spans="6:9" ht="11.25">
      <c r="F76" s="220"/>
      <c r="G76" s="221"/>
      <c r="H76" s="221"/>
      <c r="I76" s="208">
        <f>SUM(I20:I72)</f>
        <v>9436675.438235294</v>
      </c>
    </row>
    <row r="77" spans="3:8" ht="11.25">
      <c r="C77" s="207" t="s">
        <v>144</v>
      </c>
      <c r="D77" s="211" t="s">
        <v>111</v>
      </c>
      <c r="E77" s="206" t="s">
        <v>112</v>
      </c>
      <c r="F77" s="206" t="s">
        <v>113</v>
      </c>
      <c r="G77" s="224"/>
      <c r="H77" s="224"/>
    </row>
    <row r="78" spans="2:8" ht="11.25">
      <c r="B78" s="229" t="s">
        <v>153</v>
      </c>
      <c r="C78" s="207">
        <v>9436675.438235294</v>
      </c>
      <c r="D78" s="207">
        <f>J72</f>
        <v>-6150896.11828041</v>
      </c>
      <c r="E78" s="207">
        <f>F78</f>
        <v>-173678.6800451186</v>
      </c>
      <c r="F78" s="220">
        <f>L72</f>
        <v>-173678.6800451186</v>
      </c>
      <c r="G78" s="221"/>
      <c r="H78" s="221"/>
    </row>
    <row r="79" spans="2:8" ht="11.25">
      <c r="B79" s="229">
        <v>37409</v>
      </c>
      <c r="C79" s="207">
        <v>417486.41</v>
      </c>
      <c r="D79" s="219">
        <f>D78-C79+E79+G79</f>
        <v>-6585076.581504021</v>
      </c>
      <c r="E79" s="219">
        <f aca="true" t="shared" si="6" ref="E79:E108">(-C79/2+D78+G79)*$G$13/12</f>
        <v>-16694.053223611078</v>
      </c>
      <c r="F79" s="230">
        <f aca="true" t="shared" si="7" ref="F79:F108">E79+F78</f>
        <v>-190372.7332687297</v>
      </c>
      <c r="G79" s="221"/>
      <c r="H79" s="221"/>
    </row>
    <row r="80" spans="2:8" ht="11.25">
      <c r="B80" s="229">
        <v>37439</v>
      </c>
      <c r="C80" s="207">
        <v>800903.2</v>
      </c>
      <c r="D80" s="219">
        <f aca="true" t="shared" si="8" ref="D80:D108">D79-C80+E80+G80</f>
        <v>-7404316.792980469</v>
      </c>
      <c r="E80" s="219">
        <f t="shared" si="6"/>
        <v>-18337.011476448053</v>
      </c>
      <c r="F80" s="230">
        <f t="shared" si="7"/>
        <v>-208709.74474517774</v>
      </c>
      <c r="G80" s="224"/>
      <c r="H80" s="224"/>
    </row>
    <row r="81" spans="2:8" ht="11.25">
      <c r="B81" s="229">
        <v>37470</v>
      </c>
      <c r="C81" s="207">
        <v>1266693.2</v>
      </c>
      <c r="D81" s="219">
        <f t="shared" si="8"/>
        <v>-8692108.859387042</v>
      </c>
      <c r="E81" s="219">
        <f t="shared" si="6"/>
        <v>-21098.86640657373</v>
      </c>
      <c r="F81" s="230">
        <f t="shared" si="7"/>
        <v>-229808.61115175148</v>
      </c>
      <c r="G81" s="221"/>
      <c r="H81" s="221"/>
    </row>
    <row r="82" spans="2:8" ht="11.25">
      <c r="B82" s="229">
        <v>37501</v>
      </c>
      <c r="C82" s="207">
        <v>808787.95</v>
      </c>
      <c r="D82" s="219">
        <f t="shared" si="8"/>
        <v>-9524775.129327307</v>
      </c>
      <c r="E82" s="219">
        <f t="shared" si="6"/>
        <v>-23878.319940265985</v>
      </c>
      <c r="F82" s="230">
        <f t="shared" si="7"/>
        <v>-253686.93109201748</v>
      </c>
      <c r="G82" s="221"/>
      <c r="H82" s="221"/>
    </row>
    <row r="83" spans="2:8" ht="11.25">
      <c r="B83" s="229">
        <v>37531</v>
      </c>
      <c r="C83" s="207">
        <v>748686.8893939394</v>
      </c>
      <c r="D83" s="219">
        <f t="shared" si="8"/>
        <v>-10299447.204978058</v>
      </c>
      <c r="E83" s="219">
        <f t="shared" si="6"/>
        <v>-25985.186256813726</v>
      </c>
      <c r="F83" s="230">
        <f t="shared" si="7"/>
        <v>-279672.1173488312</v>
      </c>
      <c r="G83" s="224"/>
      <c r="H83" s="224"/>
    </row>
    <row r="84" spans="2:8" ht="11.25">
      <c r="B84" s="229">
        <v>37562</v>
      </c>
      <c r="C84" s="207">
        <v>3743821.943939394</v>
      </c>
      <c r="D84" s="219">
        <f t="shared" si="8"/>
        <v>-14075218.96413194</v>
      </c>
      <c r="E84" s="219">
        <f t="shared" si="6"/>
        <v>-31949.81521448786</v>
      </c>
      <c r="F84" s="230">
        <f t="shared" si="7"/>
        <v>-311621.93256331905</v>
      </c>
      <c r="G84" s="221"/>
      <c r="H84" s="221"/>
    </row>
    <row r="85" spans="2:8" ht="11.25">
      <c r="B85" s="229">
        <v>37592</v>
      </c>
      <c r="C85" s="207">
        <v>4008892.2079393943</v>
      </c>
      <c r="D85" s="219">
        <f t="shared" si="8"/>
        <v>-18126320.2928751</v>
      </c>
      <c r="E85" s="219">
        <f t="shared" si="6"/>
        <v>-42209.1208037668</v>
      </c>
      <c r="F85" s="230">
        <f t="shared" si="7"/>
        <v>-353831.0533670859</v>
      </c>
      <c r="G85" s="221"/>
      <c r="H85" s="221"/>
    </row>
    <row r="86" spans="2:8" ht="11.25">
      <c r="B86" s="229">
        <v>37623</v>
      </c>
      <c r="C86" s="207">
        <v>3969442.2079393943</v>
      </c>
      <c r="D86" s="219">
        <f t="shared" si="8"/>
        <v>-22148553.98448121</v>
      </c>
      <c r="E86" s="219">
        <f t="shared" si="6"/>
        <v>-52791.48366671759</v>
      </c>
      <c r="F86" s="230">
        <f t="shared" si="7"/>
        <v>-406622.53703380347</v>
      </c>
      <c r="G86" s="224"/>
      <c r="H86" s="224"/>
    </row>
    <row r="87" spans="2:8" ht="11.25">
      <c r="B87" s="229">
        <v>37654</v>
      </c>
      <c r="C87" s="207">
        <v>3600074.6646060604</v>
      </c>
      <c r="D87" s="219">
        <f t="shared" si="8"/>
        <v>-25811493.70129383</v>
      </c>
      <c r="E87" s="219">
        <f t="shared" si="6"/>
        <v>-62865.052206558634</v>
      </c>
      <c r="F87" s="230">
        <f t="shared" si="7"/>
        <v>-469487.5892403621</v>
      </c>
      <c r="G87" s="221"/>
      <c r="H87" s="221"/>
    </row>
    <row r="88" spans="2:8" ht="11.25">
      <c r="B88" s="229">
        <v>37682</v>
      </c>
      <c r="C88" s="207">
        <v>3471910.1606060606</v>
      </c>
      <c r="D88" s="219">
        <f t="shared" si="8"/>
        <v>-29355715.91495158</v>
      </c>
      <c r="E88" s="219">
        <f t="shared" si="6"/>
        <v>-72312.05305169176</v>
      </c>
      <c r="F88" s="230">
        <f t="shared" si="7"/>
        <v>-541799.6422920539</v>
      </c>
      <c r="G88" s="221"/>
      <c r="H88" s="221"/>
    </row>
    <row r="89" spans="2:8" ht="11.25">
      <c r="B89" s="229">
        <v>37713</v>
      </c>
      <c r="C89" s="207">
        <v>3471910.1606060606</v>
      </c>
      <c r="D89" s="219">
        <f t="shared" si="8"/>
        <v>-32909241.711920187</v>
      </c>
      <c r="E89" s="219">
        <f t="shared" si="6"/>
        <v>-81615.63636254336</v>
      </c>
      <c r="F89" s="230">
        <f t="shared" si="7"/>
        <v>-623415.2786545972</v>
      </c>
      <c r="G89" s="224"/>
      <c r="H89" s="224"/>
    </row>
    <row r="90" spans="2:8" ht="11.25">
      <c r="B90" s="229">
        <v>37743</v>
      </c>
      <c r="C90" s="207">
        <v>3855025.4246060606</v>
      </c>
      <c r="D90" s="219">
        <f t="shared" si="8"/>
        <v>-36855713.616889834</v>
      </c>
      <c r="E90" s="219">
        <f t="shared" si="6"/>
        <v>-91446.48036358594</v>
      </c>
      <c r="F90" s="230">
        <f t="shared" si="7"/>
        <v>-714861.7590181832</v>
      </c>
      <c r="G90" s="221"/>
      <c r="H90" s="221"/>
    </row>
    <row r="91" spans="2:8" ht="11.25">
      <c r="B91" s="229">
        <v>37774</v>
      </c>
      <c r="C91" s="207">
        <v>3307717.9046060606</v>
      </c>
      <c r="D91" s="219">
        <f t="shared" si="8"/>
        <v>-40264519.14949002</v>
      </c>
      <c r="E91" s="219">
        <f t="shared" si="6"/>
        <v>-101087.62799413128</v>
      </c>
      <c r="F91" s="230">
        <f t="shared" si="7"/>
        <v>-815949.3870123145</v>
      </c>
      <c r="G91" s="221"/>
      <c r="H91" s="221"/>
    </row>
    <row r="92" spans="2:8" ht="11.25">
      <c r="B92" s="229">
        <v>37804</v>
      </c>
      <c r="C92" s="207">
        <v>3307717.9046060606</v>
      </c>
      <c r="D92" s="219">
        <f t="shared" si="8"/>
        <v>-43682272.79661328</v>
      </c>
      <c r="E92" s="219">
        <f t="shared" si="6"/>
        <v>-110035.74251720676</v>
      </c>
      <c r="F92" s="230">
        <f t="shared" si="7"/>
        <v>-925985.1295295213</v>
      </c>
      <c r="G92" s="224"/>
      <c r="H92" s="224"/>
    </row>
    <row r="93" spans="2:8" ht="11.25">
      <c r="B93" s="229">
        <v>37835</v>
      </c>
      <c r="C93" s="207">
        <v>3179317.9046060606</v>
      </c>
      <c r="D93" s="219">
        <f t="shared" si="8"/>
        <v>-46980429.522060245</v>
      </c>
      <c r="E93" s="219">
        <f t="shared" si="6"/>
        <v>-118838.82084090532</v>
      </c>
      <c r="F93" s="230">
        <f t="shared" si="7"/>
        <v>-1044823.9503704266</v>
      </c>
      <c r="G93" s="221"/>
      <c r="H93" s="221"/>
    </row>
    <row r="94" spans="2:8" ht="11.25">
      <c r="B94" s="229">
        <v>37866</v>
      </c>
      <c r="C94" s="207">
        <v>3507702.4166060607</v>
      </c>
      <c r="D94" s="219">
        <f t="shared" si="8"/>
        <v>-50616059.42558351</v>
      </c>
      <c r="E94" s="219">
        <f t="shared" si="6"/>
        <v>-127927.48691720358</v>
      </c>
      <c r="F94" s="230">
        <f t="shared" si="7"/>
        <v>-1172751.4372876303</v>
      </c>
      <c r="G94" s="221"/>
      <c r="H94" s="221"/>
    </row>
    <row r="95" spans="2:8" ht="11.25">
      <c r="B95" s="229">
        <v>37896</v>
      </c>
      <c r="C95" s="207">
        <v>3562433.1686060606</v>
      </c>
      <c r="D95" s="219">
        <f t="shared" si="8"/>
        <v>-54316035.44371552</v>
      </c>
      <c r="E95" s="219">
        <f t="shared" si="6"/>
        <v>-137542.84952595216</v>
      </c>
      <c r="F95" s="230">
        <f t="shared" si="7"/>
        <v>-1310294.2868135825</v>
      </c>
      <c r="G95" s="221"/>
      <c r="H95" s="221"/>
    </row>
    <row r="96" spans="2:8" ht="11.25">
      <c r="B96" s="229">
        <v>37927</v>
      </c>
      <c r="C96" s="207">
        <v>3562433.1686060606</v>
      </c>
      <c r="D96" s="219">
        <f t="shared" si="8"/>
        <v>-58025723.89889513</v>
      </c>
      <c r="E96" s="219">
        <f t="shared" si="6"/>
        <v>-147255.28657354868</v>
      </c>
      <c r="F96" s="230">
        <f t="shared" si="7"/>
        <v>-1457549.573387131</v>
      </c>
      <c r="G96" s="221"/>
      <c r="H96" s="221"/>
    </row>
    <row r="97" spans="2:8" ht="11.25">
      <c r="B97" s="229">
        <v>37957</v>
      </c>
      <c r="C97" s="207">
        <v>3398240.9126060605</v>
      </c>
      <c r="D97" s="219">
        <f t="shared" si="8"/>
        <v>-61580742.52793358</v>
      </c>
      <c r="E97" s="219">
        <f t="shared" si="6"/>
        <v>-156777.7164323952</v>
      </c>
      <c r="F97" s="230">
        <f t="shared" si="7"/>
        <v>-1614327.2898195263</v>
      </c>
      <c r="G97" s="221"/>
      <c r="H97" s="221"/>
    </row>
    <row r="98" spans="2:8" ht="11.25">
      <c r="B98" s="229">
        <v>37988</v>
      </c>
      <c r="C98" s="207">
        <v>3386640.9126060605</v>
      </c>
      <c r="D98" s="219">
        <f t="shared" si="8"/>
        <v>-65133477.855873264</v>
      </c>
      <c r="E98" s="219">
        <f t="shared" si="6"/>
        <v>-166094.41533362112</v>
      </c>
      <c r="F98" s="230">
        <f t="shared" si="7"/>
        <v>-1780421.7051531475</v>
      </c>
      <c r="G98" s="221"/>
      <c r="H98" s="221"/>
    </row>
    <row r="99" spans="2:8" ht="11.25">
      <c r="B99" s="229">
        <v>38019</v>
      </c>
      <c r="C99" s="207">
        <v>3120178.2776060607</v>
      </c>
      <c r="D99" s="219">
        <f t="shared" si="8"/>
        <v>-68428726.74684036</v>
      </c>
      <c r="E99" s="219">
        <f t="shared" si="6"/>
        <v>-175070.61336102526</v>
      </c>
      <c r="F99" s="230">
        <f t="shared" si="7"/>
        <v>-1955492.3185141727</v>
      </c>
      <c r="G99" s="221"/>
      <c r="H99" s="221"/>
    </row>
    <row r="100" spans="2:9" ht="11.25">
      <c r="B100" s="229">
        <v>38048</v>
      </c>
      <c r="C100" s="207">
        <v>3065055.0256060604</v>
      </c>
      <c r="D100" s="219">
        <f t="shared" si="8"/>
        <v>-71677430.06487799</v>
      </c>
      <c r="E100" s="219">
        <f t="shared" si="6"/>
        <v>-183648.29243156392</v>
      </c>
      <c r="F100" s="230">
        <f t="shared" si="7"/>
        <v>-2139140.6109457365</v>
      </c>
      <c r="G100" s="231"/>
      <c r="H100" s="231"/>
      <c r="I100" s="231"/>
    </row>
    <row r="101" spans="2:9" ht="11.25">
      <c r="B101" s="229">
        <v>38079</v>
      </c>
      <c r="C101" s="207">
        <v>2955593.5216060607</v>
      </c>
      <c r="D101" s="219">
        <f t="shared" si="8"/>
        <v>-74825056.05690145</v>
      </c>
      <c r="E101" s="219">
        <f t="shared" si="6"/>
        <v>-192032.47041741267</v>
      </c>
      <c r="F101" s="230">
        <f t="shared" si="7"/>
        <v>-2331173.081363149</v>
      </c>
      <c r="G101" s="231"/>
      <c r="H101" s="231"/>
      <c r="I101" s="231"/>
    </row>
    <row r="102" spans="2:9" ht="11.25">
      <c r="B102" s="229">
        <v>38109</v>
      </c>
      <c r="C102" s="207">
        <v>2627209.0096060606</v>
      </c>
      <c r="D102" s="219">
        <f t="shared" si="8"/>
        <v>-77652129.05048199</v>
      </c>
      <c r="E102" s="219">
        <f t="shared" si="6"/>
        <v>-199863.98397447428</v>
      </c>
      <c r="F102" s="230">
        <f t="shared" si="7"/>
        <v>-2531037.0653376235</v>
      </c>
      <c r="G102" s="231"/>
      <c r="H102" s="231"/>
      <c r="I102" s="231"/>
    </row>
    <row r="103" spans="2:9" ht="11.25">
      <c r="B103" s="229">
        <v>38140</v>
      </c>
      <c r="C103" s="207">
        <v>1587324.7216060606</v>
      </c>
      <c r="D103" s="219">
        <f t="shared" si="8"/>
        <v>-79445373.97454268</v>
      </c>
      <c r="E103" s="219">
        <f t="shared" si="6"/>
        <v>-205920.20245462316</v>
      </c>
      <c r="F103" s="230">
        <f t="shared" si="7"/>
        <v>-2736957.267792247</v>
      </c>
      <c r="G103" s="231"/>
      <c r="H103" s="231"/>
      <c r="I103" s="231"/>
    </row>
    <row r="104" spans="2:9" ht="11.25">
      <c r="B104" s="229">
        <v>38170</v>
      </c>
      <c r="C104" s="207">
        <v>1495822.3029393943</v>
      </c>
      <c r="D104" s="219">
        <f t="shared" si="8"/>
        <v>1597945.4740621448</v>
      </c>
      <c r="E104" s="219">
        <f t="shared" si="6"/>
        <v>6141.751544217529</v>
      </c>
      <c r="F104" s="230">
        <f t="shared" si="7"/>
        <v>-2730815.516248029</v>
      </c>
      <c r="G104" s="5">
        <f>E111+E118</f>
        <v>82533000</v>
      </c>
      <c r="H104" s="231"/>
      <c r="I104" s="231"/>
    </row>
    <row r="105" spans="2:9" ht="11.25">
      <c r="B105" s="229">
        <v>38203</v>
      </c>
      <c r="C105" s="207">
        <v>1389708.3635454546</v>
      </c>
      <c r="D105" s="219">
        <f t="shared" si="8"/>
        <v>210607.7251589499</v>
      </c>
      <c r="E105" s="219">
        <f t="shared" si="6"/>
        <v>2370.6146422597208</v>
      </c>
      <c r="F105" s="230">
        <f t="shared" si="7"/>
        <v>-2728444.9016057695</v>
      </c>
      <c r="G105" s="231"/>
      <c r="H105" s="231"/>
      <c r="I105" s="231"/>
    </row>
    <row r="106" spans="2:9" ht="11.25">
      <c r="B106" s="229">
        <v>38234</v>
      </c>
      <c r="C106" s="207">
        <v>80215.70833333333</v>
      </c>
      <c r="D106" s="219">
        <f t="shared" si="8"/>
        <v>130839.57898697132</v>
      </c>
      <c r="E106" s="219">
        <f t="shared" si="6"/>
        <v>447.5621613547435</v>
      </c>
      <c r="F106" s="230">
        <f t="shared" si="7"/>
        <v>-2727997.3394444147</v>
      </c>
      <c r="G106" s="231"/>
      <c r="H106" s="231"/>
      <c r="I106" s="231"/>
    </row>
    <row r="107" spans="2:9" ht="11.25">
      <c r="B107" s="229">
        <v>38264</v>
      </c>
      <c r="C107" s="207">
        <v>55653.33333333333</v>
      </c>
      <c r="D107" s="219">
        <f t="shared" si="8"/>
        <v>75456.6545484788</v>
      </c>
      <c r="E107" s="219">
        <f t="shared" si="6"/>
        <v>270.40889484079975</v>
      </c>
      <c r="F107" s="230">
        <f t="shared" si="7"/>
        <v>-2727726.930549574</v>
      </c>
      <c r="G107" s="231"/>
      <c r="H107" s="231"/>
      <c r="I107" s="231"/>
    </row>
    <row r="108" spans="2:9" ht="11.25">
      <c r="B108" s="229">
        <v>38295</v>
      </c>
      <c r="C108" s="207">
        <v>55653.33333333333</v>
      </c>
      <c r="D108" s="219">
        <f t="shared" si="8"/>
        <v>19928.349933335223</v>
      </c>
      <c r="E108" s="219">
        <f t="shared" si="6"/>
        <v>125.02871818975683</v>
      </c>
      <c r="F108" s="230">
        <f t="shared" si="7"/>
        <v>-2727601.9018313843</v>
      </c>
      <c r="G108" s="231"/>
      <c r="H108" s="231"/>
      <c r="I108" s="231"/>
    </row>
    <row r="109" spans="2:9" ht="11.25">
      <c r="B109" s="229" t="s">
        <v>154</v>
      </c>
      <c r="C109" s="207">
        <f>SUM(C78:C108)</f>
        <v>83244927.74823527</v>
      </c>
      <c r="E109" s="207">
        <f>SUM(E78:E108)</f>
        <v>-2727601.9018313843</v>
      </c>
      <c r="F109" s="231"/>
      <c r="G109" s="232">
        <f>C109-E109</f>
        <v>85972529.65006666</v>
      </c>
      <c r="H109" s="231"/>
      <c r="I109" s="231"/>
    </row>
    <row r="110" spans="6:9" ht="12" thickBot="1">
      <c r="F110" s="231"/>
      <c r="G110" s="231"/>
      <c r="H110" s="231"/>
      <c r="I110" s="231"/>
    </row>
    <row r="111" spans="4:9" ht="12" thickBot="1">
      <c r="D111" s="233" t="s">
        <v>166</v>
      </c>
      <c r="E111" s="234">
        <v>82500000</v>
      </c>
      <c r="F111" s="231"/>
      <c r="G111" s="231" t="s">
        <v>155</v>
      </c>
      <c r="H111" s="231"/>
      <c r="I111" s="232">
        <f>SUM(C79:C108)</f>
        <v>73808252.30999997</v>
      </c>
    </row>
    <row r="112" spans="4:9" ht="11.25">
      <c r="D112" s="235"/>
      <c r="E112" s="236"/>
      <c r="F112" s="231"/>
      <c r="G112" s="231" t="s">
        <v>156</v>
      </c>
      <c r="H112" s="231"/>
      <c r="I112" s="237">
        <f>SUM(E79:E108)</f>
        <v>-2553923.2217862657</v>
      </c>
    </row>
    <row r="113" spans="4:9" ht="11.25">
      <c r="D113" s="238" t="s">
        <v>144</v>
      </c>
      <c r="E113" s="239">
        <f>C109</f>
        <v>83244927.74823527</v>
      </c>
      <c r="F113" s="231"/>
      <c r="G113" s="231"/>
      <c r="H113" s="231"/>
      <c r="I113" s="240">
        <f>I112/I111</f>
        <v>-0.03460213650717001</v>
      </c>
    </row>
    <row r="114" spans="4:9" ht="11.25">
      <c r="D114" s="238" t="s">
        <v>157</v>
      </c>
      <c r="E114" s="239">
        <f>I19</f>
        <v>40542</v>
      </c>
      <c r="F114" s="231"/>
      <c r="G114" s="231"/>
      <c r="H114" s="231"/>
      <c r="I114" s="240"/>
    </row>
    <row r="115" spans="4:9" ht="11.25">
      <c r="D115" s="238"/>
      <c r="E115" s="239"/>
      <c r="F115" s="231"/>
      <c r="G115" s="231"/>
      <c r="H115" s="231"/>
      <c r="I115" s="231"/>
    </row>
    <row r="116" spans="4:9" ht="11.25">
      <c r="D116" s="238" t="s">
        <v>145</v>
      </c>
      <c r="E116" s="239">
        <f>I16</f>
        <v>3500000</v>
      </c>
      <c r="F116" s="231"/>
      <c r="G116" s="231"/>
      <c r="H116" s="231"/>
      <c r="I116" s="231"/>
    </row>
    <row r="117" spans="4:9" ht="11.25">
      <c r="D117" s="238" t="s">
        <v>158</v>
      </c>
      <c r="E117" s="239">
        <f>E111</f>
        <v>82500000</v>
      </c>
      <c r="F117" s="231"/>
      <c r="G117" s="231"/>
      <c r="H117" s="231"/>
      <c r="I117" s="231"/>
    </row>
    <row r="118" spans="4:9" ht="11.25">
      <c r="D118" s="238" t="s">
        <v>159</v>
      </c>
      <c r="E118" s="239">
        <v>33000</v>
      </c>
      <c r="F118" s="231"/>
      <c r="G118" s="231"/>
      <c r="H118" s="231"/>
      <c r="I118" s="231"/>
    </row>
    <row r="119" spans="4:9" ht="11.25">
      <c r="D119" s="238"/>
      <c r="E119" s="239"/>
      <c r="F119" s="231"/>
      <c r="G119" s="231"/>
      <c r="H119" s="231"/>
      <c r="I119" s="231"/>
    </row>
    <row r="120" spans="4:9" ht="11.25">
      <c r="D120" s="238" t="s">
        <v>147</v>
      </c>
      <c r="E120" s="239">
        <f>F108</f>
        <v>-2727601.9018313843</v>
      </c>
      <c r="F120" s="231"/>
      <c r="G120" s="231"/>
      <c r="H120" s="231"/>
      <c r="I120" s="231"/>
    </row>
    <row r="121" spans="4:9" ht="11.25">
      <c r="D121" s="238" t="s">
        <v>148</v>
      </c>
      <c r="E121" s="239">
        <f>E116+E117+E118+E120</f>
        <v>83305398.09816861</v>
      </c>
      <c r="F121" s="231"/>
      <c r="G121" s="231"/>
      <c r="H121" s="231"/>
      <c r="I121" s="231"/>
    </row>
    <row r="122" spans="4:9" ht="11.25">
      <c r="D122" s="238"/>
      <c r="E122" s="239"/>
      <c r="F122" s="231"/>
      <c r="G122" s="231"/>
      <c r="H122" s="231"/>
      <c r="I122" s="231"/>
    </row>
    <row r="123" spans="4:9" ht="11.25">
      <c r="D123" s="238" t="s">
        <v>149</v>
      </c>
      <c r="E123" s="239">
        <f>E121-E113-E114</f>
        <v>19928.349933341146</v>
      </c>
      <c r="F123" s="231"/>
      <c r="G123" s="231"/>
      <c r="H123" s="231"/>
      <c r="I123" s="231"/>
    </row>
    <row r="124" spans="4:9" ht="11.25">
      <c r="D124" s="235"/>
      <c r="E124" s="236">
        <f>E123-D108</f>
        <v>5.922629497945309E-09</v>
      </c>
      <c r="F124" s="231"/>
      <c r="G124" s="231"/>
      <c r="H124" s="231"/>
      <c r="I124" s="231"/>
    </row>
    <row r="125" spans="4:9" ht="11.25">
      <c r="D125" s="235"/>
      <c r="E125" s="236"/>
      <c r="F125" s="231"/>
      <c r="G125" s="231"/>
      <c r="H125" s="231"/>
      <c r="I125" s="231"/>
    </row>
    <row r="126" spans="4:9" ht="11.25">
      <c r="D126" s="243" t="s">
        <v>160</v>
      </c>
      <c r="E126" s="236"/>
      <c r="F126" s="231"/>
      <c r="G126" s="231"/>
      <c r="H126" s="231"/>
      <c r="I126" s="231"/>
    </row>
    <row r="127" spans="4:9" ht="11.25">
      <c r="D127" s="235"/>
      <c r="E127" s="236"/>
      <c r="F127" s="231"/>
      <c r="G127" s="231"/>
      <c r="H127" s="231"/>
      <c r="I127" s="231"/>
    </row>
    <row r="128" spans="4:9" ht="11.25">
      <c r="D128" s="235" t="s">
        <v>161</v>
      </c>
      <c r="E128" s="236">
        <f>'[2]Seismic Repairs'!E62</f>
        <v>2867132.375</v>
      </c>
      <c r="F128" s="231"/>
      <c r="G128" s="231"/>
      <c r="H128" s="231"/>
      <c r="I128" s="231"/>
    </row>
    <row r="129" spans="4:9" ht="12" thickBot="1">
      <c r="D129" s="235" t="s">
        <v>162</v>
      </c>
      <c r="E129" s="236">
        <f>-E128*I113</f>
        <v>99208.90582387656</v>
      </c>
      <c r="F129" s="231"/>
      <c r="G129" s="231"/>
      <c r="H129" s="231"/>
      <c r="I129" s="231"/>
    </row>
    <row r="130" spans="4:9" ht="12" thickBot="1">
      <c r="D130" s="235" t="s">
        <v>163</v>
      </c>
      <c r="E130" s="234">
        <f>E128+E129</f>
        <v>2966341.2808238766</v>
      </c>
      <c r="F130" s="231"/>
      <c r="G130" s="231"/>
      <c r="H130" s="231"/>
      <c r="I130" s="231"/>
    </row>
    <row r="131" spans="4:9" ht="11.25">
      <c r="D131" s="235"/>
      <c r="E131" s="236"/>
      <c r="F131" s="231"/>
      <c r="G131" s="231"/>
      <c r="H131" s="231"/>
      <c r="I131" s="231"/>
    </row>
    <row r="132" spans="4:9" ht="12" thickBot="1">
      <c r="D132" s="235" t="s">
        <v>164</v>
      </c>
      <c r="E132" s="236">
        <f>E111+E130</f>
        <v>85466341.28082387</v>
      </c>
      <c r="F132" s="231"/>
      <c r="G132" s="231"/>
      <c r="H132" s="231"/>
      <c r="I132" s="231"/>
    </row>
    <row r="133" spans="4:9" ht="16.5" thickBot="1">
      <c r="D133" s="241" t="s">
        <v>165</v>
      </c>
      <c r="E133" s="242">
        <f>ROUND(E132/0.99,-4)</f>
        <v>86330000</v>
      </c>
      <c r="F133" s="231"/>
      <c r="G133" s="231"/>
      <c r="H133" s="231"/>
      <c r="I133" s="231"/>
    </row>
    <row r="134" spans="6:9" ht="11.25">
      <c r="F134" s="231"/>
      <c r="G134" s="231"/>
      <c r="H134" s="231"/>
      <c r="I134" s="231"/>
    </row>
    <row r="135" spans="6:9" ht="11.25">
      <c r="F135" s="231"/>
      <c r="G135" s="231"/>
      <c r="H135" s="231"/>
      <c r="I135" s="231"/>
    </row>
    <row r="136" spans="6:9" ht="11.25">
      <c r="F136" s="231"/>
      <c r="G136" s="231"/>
      <c r="H136" s="231"/>
      <c r="I136" s="231"/>
    </row>
    <row r="137" spans="6:9" ht="11.25">
      <c r="F137" s="231"/>
      <c r="G137" s="231"/>
      <c r="H137" s="231"/>
      <c r="I137" s="231"/>
    </row>
  </sheetData>
  <printOptions horizontalCentered="1" verticalCentered="1"/>
  <pageMargins left="0.75" right="0.75" top="1" bottom="1" header="0.5" footer="0.5"/>
  <pageSetup horizontalDpi="600" verticalDpi="600" orientation="portrait" scale="150" r:id="rId1"/>
  <headerFooter alignWithMargins="0">
    <oddFooter>&amp;R&amp;8W:\2003 Budget\CX Debt Plan\CASP\2002 Supplemental\CASP Financing Summary 6.26.2002.xls (CASP cashflow)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Record</dc:creator>
  <cp:keywords/>
  <dc:description/>
  <cp:lastModifiedBy>Janice Mansfield</cp:lastModifiedBy>
  <cp:lastPrinted>2002-07-19T19:27:22Z</cp:lastPrinted>
  <dcterms:created xsi:type="dcterms:W3CDTF">2000-11-15T18:46:14Z</dcterms:created>
  <dcterms:modified xsi:type="dcterms:W3CDTF">2002-07-25T17:52:46Z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-756134201</vt:i4>
  </property>
  <property fmtid="{D5CDD505-2E9C-101B-9397-08002B2CF9AE}" pid="3" name="_EmailSubject">
    <vt:lpwstr>Courthouse Seismic Projects Attachments</vt:lpwstr>
  </property>
  <property fmtid="{D5CDD505-2E9C-101B-9397-08002B2CF9AE}" pid="4" name="_AuthorEmail">
    <vt:lpwstr>David.Layton@METROKC.GOV</vt:lpwstr>
  </property>
  <property fmtid="{D5CDD505-2E9C-101B-9397-08002B2CF9AE}" pid="5" name="_AuthorEmailDisplayName">
    <vt:lpwstr>Layton, David</vt:lpwstr>
  </property>
  <property fmtid="{D5CDD505-2E9C-101B-9397-08002B2CF9AE}" pid="6" name="_ReviewingToolsShownOnce">
    <vt:lpwstr/>
  </property>
</Properties>
</file>