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56" windowWidth="9615" windowHeight="7980" activeTab="1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'Sheet1'!$A$1:$O$47</definedName>
  </definedNames>
  <calcPr fullCalcOnLoad="1"/>
</workbook>
</file>

<file path=xl/comments1.xml><?xml version="1.0" encoding="utf-8"?>
<comments xmlns="http://schemas.openxmlformats.org/spreadsheetml/2006/main">
  <authors>
    <author>Marijo Klem</author>
  </authors>
  <commentList>
    <comment ref="J33" authorId="0">
      <text>
        <r>
          <rPr>
            <b/>
            <sz val="8"/>
            <rFont val="Tahoma"/>
            <family val="0"/>
          </rPr>
          <t>Marijo Klem:</t>
        </r>
        <r>
          <rPr>
            <sz val="8"/>
            <rFont val="Tahoma"/>
            <family val="0"/>
          </rPr>
          <t xml:space="preserve">
Does not include Direct Costs which was in the 2005 budget total for Adm &amp; OH</t>
        </r>
      </text>
    </comment>
  </commentList>
</comments>
</file>

<file path=xl/sharedStrings.xml><?xml version="1.0" encoding="utf-8"?>
<sst xmlns="http://schemas.openxmlformats.org/spreadsheetml/2006/main" count="108" uniqueCount="50">
  <si>
    <t>Felony</t>
  </si>
  <si>
    <t>Misdemeanor</t>
  </si>
  <si>
    <t>Juvenile</t>
  </si>
  <si>
    <t>Contempt of Court</t>
  </si>
  <si>
    <t>Dependency</t>
  </si>
  <si>
    <t>1.  Attorney cost comparisons</t>
  </si>
  <si>
    <t>% increase</t>
  </si>
  <si>
    <t>3.  Supervisor cost comparison</t>
  </si>
  <si>
    <t>7.  CX Contract services allocation</t>
  </si>
  <si>
    <t>6.  Rent/Indirect combined</t>
  </si>
  <si>
    <t xml:space="preserve"> - Not combined in '06 model but shown</t>
  </si>
  <si>
    <t xml:space="preserve">    combined in this analysis to enable comparison)</t>
  </si>
  <si>
    <t xml:space="preserve"> - Shown as per/fte rate to enable comparison</t>
  </si>
  <si>
    <t xml:space="preserve">  -  2005 contractdoes not include supplemental</t>
  </si>
  <si>
    <t xml:space="preserve">  - 2006 is preliminary and subject to change</t>
  </si>
  <si>
    <t>- Not combined in '06 model but shown</t>
  </si>
  <si>
    <t>- Shown as cost for average attorney</t>
  </si>
  <si>
    <t>Attnys Req.</t>
  </si>
  <si>
    <t>Total Cost</t>
  </si>
  <si>
    <t>TOTAL:</t>
  </si>
  <si>
    <t>$$ increase</t>
  </si>
  <si>
    <t>Ave. Salary</t>
  </si>
  <si>
    <t xml:space="preserve"> Credits</t>
  </si>
  <si>
    <t>FTEs</t>
  </si>
  <si>
    <t>4.  Benefit/Fica - combined</t>
  </si>
  <si>
    <t>5.  Support Staff</t>
  </si>
  <si>
    <t xml:space="preserve"> Clerical Staff</t>
  </si>
  <si>
    <t>Non-Legal Support</t>
  </si>
  <si>
    <t>8.  Calendar attorney cost comparison</t>
  </si>
  <si>
    <t>A. Attorneys:</t>
  </si>
  <si>
    <t>B. Staff</t>
  </si>
  <si>
    <t>C. Benefits</t>
  </si>
  <si>
    <t xml:space="preserve"> </t>
  </si>
  <si>
    <t>2.  Supervisor cost comparison</t>
  </si>
  <si>
    <t>3.  Support Staff</t>
  </si>
  <si>
    <t>n/a</t>
  </si>
  <si>
    <t>5.  Rent/Overhead combined</t>
  </si>
  <si>
    <t>Non-Legal Support Staff</t>
  </si>
  <si>
    <t>TOTAL per FTE:</t>
  </si>
  <si>
    <t>FICA (average across all FTEs)</t>
  </si>
  <si>
    <t>Benefit Costs (per FTE)</t>
  </si>
  <si>
    <t>TOTAL FTEs (271.8)</t>
  </si>
  <si>
    <t xml:space="preserve"> -Includes rent, administration, indirect overhead, IT projects</t>
  </si>
  <si>
    <t>6.  Calendar attorney cost comparison</t>
  </si>
  <si>
    <t>7.  CX Contract services allocation - 2005 Adopted</t>
  </si>
  <si>
    <t xml:space="preserve">8.  CX Contract services allocation </t>
  </si>
  <si>
    <t xml:space="preserve">    including $2.1 million supplemental</t>
  </si>
  <si>
    <t>- Shown as cost for average attorney (does not include</t>
  </si>
  <si>
    <t>additional costs for staff and benefits)</t>
  </si>
  <si>
    <t xml:space="preserve">4.  Benefits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</si>
</sst>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0.0"/>
    <numFmt numFmtId="171" formatCode="_(* #,##0.0_);_(* \(#,##0.0\);_(* &quot;-&quot;?_);_(@_)"/>
  </numFmts>
  <fonts count="1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6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3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8" fontId="0" fillId="0" borderId="3" xfId="17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" fontId="0" fillId="0" borderId="0" xfId="17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6" fillId="2" borderId="0" xfId="15" applyNumberFormat="1" applyFont="1" applyFill="1" applyAlignment="1">
      <alignment/>
    </xf>
    <xf numFmtId="168" fontId="0" fillId="0" borderId="0" xfId="17" applyNumberFormat="1" applyFont="1" applyBorder="1" applyAlignment="1">
      <alignment/>
    </xf>
    <xf numFmtId="10" fontId="0" fillId="0" borderId="4" xfId="21" applyNumberFormat="1" applyFont="1" applyBorder="1" applyAlignment="1">
      <alignment/>
    </xf>
    <xf numFmtId="165" fontId="6" fillId="2" borderId="0" xfId="15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65" fontId="4" fillId="0" borderId="0" xfId="15" applyNumberFormat="1" applyFont="1" applyBorder="1" applyAlignment="1">
      <alignment/>
    </xf>
    <xf numFmtId="1" fontId="4" fillId="0" borderId="0" xfId="17" applyNumberFormat="1" applyFont="1" applyBorder="1" applyAlignment="1">
      <alignment/>
    </xf>
    <xf numFmtId="9" fontId="4" fillId="0" borderId="4" xfId="21" applyNumberFormat="1" applyFont="1" applyBorder="1" applyAlignment="1">
      <alignment/>
    </xf>
    <xf numFmtId="1" fontId="6" fillId="2" borderId="0" xfId="17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70" fontId="0" fillId="0" borderId="0" xfId="17" applyNumberFormat="1" applyFont="1" applyBorder="1" applyAlignment="1">
      <alignment/>
    </xf>
    <xf numFmtId="170" fontId="4" fillId="0" borderId="0" xfId="17" applyNumberFormat="1" applyFont="1" applyBorder="1" applyAlignment="1">
      <alignment/>
    </xf>
    <xf numFmtId="10" fontId="4" fillId="0" borderId="4" xfId="21" applyNumberFormat="1" applyFont="1" applyBorder="1" applyAlignment="1">
      <alignment/>
    </xf>
    <xf numFmtId="44" fontId="0" fillId="0" borderId="3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4" fontId="0" fillId="0" borderId="0" xfId="17" applyFont="1" applyBorder="1" applyAlignment="1">
      <alignment/>
    </xf>
    <xf numFmtId="0" fontId="0" fillId="0" borderId="5" xfId="0" applyFont="1" applyBorder="1" applyAlignment="1">
      <alignment/>
    </xf>
    <xf numFmtId="1" fontId="0" fillId="0" borderId="6" xfId="0" applyNumberFormat="1" applyFont="1" applyBorder="1" applyAlignment="1">
      <alignment/>
    </xf>
    <xf numFmtId="1" fontId="6" fillId="2" borderId="6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" fontId="0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168" fontId="4" fillId="0" borderId="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4" xfId="0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65" fontId="4" fillId="0" borderId="0" xfId="15" applyNumberFormat="1" applyFont="1" applyBorder="1" applyAlignment="1">
      <alignment horizontal="left"/>
    </xf>
    <xf numFmtId="166" fontId="0" fillId="0" borderId="4" xfId="21" applyNumberFormat="1" applyFont="1" applyBorder="1" applyAlignment="1">
      <alignment/>
    </xf>
    <xf numFmtId="2" fontId="0" fillId="0" borderId="0" xfId="17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5" fontId="0" fillId="0" borderId="3" xfId="0" applyNumberFormat="1" applyFont="1" applyBorder="1" applyAlignment="1">
      <alignment horizontal="center"/>
    </xf>
    <xf numFmtId="165" fontId="0" fillId="0" borderId="3" xfId="15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4" fillId="0" borderId="3" xfId="0" applyNumberFormat="1" applyFont="1" applyBorder="1" applyAlignment="1">
      <alignment horizontal="center"/>
    </xf>
    <xf numFmtId="165" fontId="4" fillId="0" borderId="3" xfId="15" applyNumberFormat="1" applyFont="1" applyBorder="1" applyAlignment="1">
      <alignment/>
    </xf>
    <xf numFmtId="1" fontId="0" fillId="0" borderId="3" xfId="17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68" fontId="0" fillId="0" borderId="0" xfId="17" applyNumberFormat="1" applyFont="1" applyAlignment="1">
      <alignment/>
    </xf>
    <xf numFmtId="168" fontId="4" fillId="0" borderId="0" xfId="17" applyNumberFormat="1" applyFont="1" applyBorder="1" applyAlignment="1">
      <alignment/>
    </xf>
    <xf numFmtId="166" fontId="4" fillId="0" borderId="4" xfId="21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8" fontId="4" fillId="0" borderId="3" xfId="17" applyNumberFormat="1" applyFont="1" applyBorder="1" applyAlignment="1">
      <alignment/>
    </xf>
    <xf numFmtId="2" fontId="4" fillId="0" borderId="0" xfId="17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44" fontId="0" fillId="0" borderId="3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/>
    </xf>
    <xf numFmtId="49" fontId="1" fillId="0" borderId="0" xfId="0" applyNumberFormat="1" applyFont="1" applyAlignment="1" quotePrefix="1">
      <alignment/>
    </xf>
    <xf numFmtId="9" fontId="4" fillId="0" borderId="4" xfId="21" applyFont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ARED\05budget\Final%20Contract\Draft%202005%20Attachment%20IIIs%20&amp;%20Credit%20Distribution%20-%20Annual.04.29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arke\Local%20Settings\Temporary%20Internet%20Files\OLK1DF\Summary%202006%20Budget%20-%20Rounded%20Proj.7.07.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arke\Local%20Settings\Temporary%20Internet%20Files\OLK1DF\2006%20Budget%20Summary.Nonlegal%20%20Rounded%20FTE.7.07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"/>
      <sheetName val="NDA"/>
      <sheetName val="SCR"/>
      <sheetName val="TDA"/>
      <sheetName val="Summary"/>
      <sheetName val="Contract"/>
      <sheetName val="Adopted FTE"/>
      <sheetName val="OH% Dist"/>
      <sheetName val="Benefits"/>
      <sheetName val="Sal&amp;Ben"/>
      <sheetName val="Agy Adm&amp;OH"/>
      <sheetName val="Internet Add"/>
      <sheetName val="Caseload Dist"/>
      <sheetName val="Revised Sim Firm"/>
      <sheetName val="Caseload Budget"/>
      <sheetName val="Complex Reserve"/>
      <sheetName val="Calendar"/>
    </sheetNames>
    <sheetDataSet>
      <sheetData sheetId="8">
        <row r="29">
          <cell r="D29">
            <v>9883.261825413387</v>
          </cell>
        </row>
      </sheetData>
      <sheetData sheetId="10">
        <row r="29">
          <cell r="D29">
            <v>19141.220000000005</v>
          </cell>
        </row>
      </sheetData>
      <sheetData sheetId="13">
        <row r="27">
          <cell r="C27">
            <v>80.875</v>
          </cell>
          <cell r="F27">
            <v>5670432.10767103</v>
          </cell>
          <cell r="L27">
            <v>8.087471879743859</v>
          </cell>
          <cell r="O27">
            <v>727346.846078654</v>
          </cell>
        </row>
        <row r="28">
          <cell r="I28">
            <v>61629.235784134726</v>
          </cell>
        </row>
        <row r="33">
          <cell r="C33">
            <v>16.00038089281871</v>
          </cell>
          <cell r="F33">
            <v>1079389.823577901</v>
          </cell>
          <cell r="L33">
            <v>1.6000380892818709</v>
          </cell>
          <cell r="O33">
            <v>142553.23952353082</v>
          </cell>
        </row>
        <row r="42">
          <cell r="C42">
            <v>14.535859905544259</v>
          </cell>
          <cell r="F42">
            <v>959117.0343269696</v>
          </cell>
          <cell r="L42">
            <v>1.4535859905544262</v>
          </cell>
          <cell r="O42">
            <v>135803.41640402845</v>
          </cell>
        </row>
        <row r="50">
          <cell r="C50">
            <v>17.77916906882194</v>
          </cell>
          <cell r="F50">
            <v>1084721.8470505513</v>
          </cell>
          <cell r="L50">
            <v>1.777916906882194</v>
          </cell>
          <cell r="O50">
            <v>158401.11330941186</v>
          </cell>
        </row>
        <row r="63">
          <cell r="C63">
            <v>9.777777777777779</v>
          </cell>
          <cell r="F63">
            <v>602596.9721115396</v>
          </cell>
          <cell r="L63">
            <v>0.9777777777777779</v>
          </cell>
          <cell r="O63">
            <v>83009.6494370673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 Per Credit"/>
      <sheetName val="Price Per Calendar"/>
      <sheetName val="2006 Budget"/>
      <sheetName val="Subtract 4.6's"/>
      <sheetName val="Supv - All Caseload"/>
      <sheetName val="Paraprof"/>
      <sheetName val="Clerical"/>
      <sheetName val="Benefits"/>
      <sheetName val="Calendar Atty"/>
      <sheetName val="Direct Caseload OH Cost"/>
      <sheetName val="Admin %"/>
      <sheetName val="Indirect Caseload OH %"/>
      <sheetName val="Mileage Rate"/>
    </sheetNames>
    <sheetDataSet>
      <sheetData sheetId="2">
        <row r="91">
          <cell r="Y91">
            <v>13507.786152032586</v>
          </cell>
        </row>
      </sheetData>
      <sheetData sheetId="3">
        <row r="49">
          <cell r="N49">
            <v>79416.65616305909</v>
          </cell>
          <cell r="AG49">
            <v>76641.24233220436</v>
          </cell>
          <cell r="AY49">
            <v>75382.84078347922</v>
          </cell>
          <cell r="CI49">
            <v>79708.82282171538</v>
          </cell>
          <cell r="DP49">
            <v>66128.78246584797</v>
          </cell>
        </row>
      </sheetData>
      <sheetData sheetId="4">
        <row r="32">
          <cell r="I32">
            <v>100545.96546225</v>
          </cell>
          <cell r="T32">
            <v>100551</v>
          </cell>
          <cell r="AC32">
            <v>101305.9222900625</v>
          </cell>
          <cell r="AL32">
            <v>98618.78528172</v>
          </cell>
        </row>
        <row r="57">
          <cell r="I57">
            <v>101777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gency Details"/>
      <sheetName val="Sheet2"/>
      <sheetName val="Sheet3"/>
    </sheetNames>
    <sheetDataSet>
      <sheetData sheetId="1">
        <row r="27">
          <cell r="G27">
            <v>4640769.7929537445</v>
          </cell>
          <cell r="H27">
            <v>213576.1802117542</v>
          </cell>
          <cell r="K27">
            <v>9157.596603040913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workbookViewId="0" topLeftCell="D1">
      <selection activeCell="L18" sqref="L18"/>
    </sheetView>
  </sheetViews>
  <sheetFormatPr defaultColWidth="9.140625" defaultRowHeight="12.75"/>
  <cols>
    <col min="1" max="1" width="11.421875" style="1" customWidth="1"/>
    <col min="2" max="3" width="9.140625" style="1" customWidth="1"/>
    <col min="4" max="4" width="11.28125" style="1" customWidth="1"/>
    <col min="5" max="5" width="16.28125" style="1" bestFit="1" customWidth="1"/>
    <col min="6" max="7" width="11.421875" style="41" customWidth="1"/>
    <col min="8" max="8" width="15.421875" style="41" bestFit="1" customWidth="1"/>
    <col min="9" max="9" width="0.71875" style="42" customWidth="1"/>
    <col min="10" max="10" width="15.57421875" style="1" bestFit="1" customWidth="1"/>
    <col min="11" max="12" width="12.421875" style="41" customWidth="1"/>
    <col min="13" max="13" width="14.57421875" style="41" bestFit="1" customWidth="1"/>
    <col min="14" max="14" width="15.00390625" style="41" bestFit="1" customWidth="1"/>
    <col min="15" max="15" width="14.28125" style="1" customWidth="1"/>
    <col min="16" max="16384" width="9.140625" style="1" customWidth="1"/>
  </cols>
  <sheetData>
    <row r="1" spans="5:15" ht="12.75">
      <c r="E1" s="77">
        <v>2005</v>
      </c>
      <c r="F1" s="78"/>
      <c r="G1" s="78"/>
      <c r="H1" s="78"/>
      <c r="I1" s="2"/>
      <c r="J1" s="77">
        <v>2006</v>
      </c>
      <c r="K1" s="78"/>
      <c r="L1" s="78"/>
      <c r="M1" s="78"/>
      <c r="N1" s="3" t="s">
        <v>20</v>
      </c>
      <c r="O1" s="3" t="s">
        <v>6</v>
      </c>
    </row>
    <row r="2" spans="1:15" ht="12.75">
      <c r="A2" s="1" t="s">
        <v>5</v>
      </c>
      <c r="E2" s="4"/>
      <c r="F2" s="5"/>
      <c r="G2" s="5"/>
      <c r="H2" s="5"/>
      <c r="I2" s="6"/>
      <c r="J2" s="7"/>
      <c r="K2" s="5"/>
      <c r="L2" s="5"/>
      <c r="M2" s="5"/>
      <c r="N2" s="5"/>
      <c r="O2" s="8"/>
    </row>
    <row r="3" spans="1:15" ht="12.75">
      <c r="A3" s="9" t="s">
        <v>16</v>
      </c>
      <c r="E3" s="10" t="s">
        <v>21</v>
      </c>
      <c r="F3" s="11" t="s">
        <v>22</v>
      </c>
      <c r="G3" s="11" t="s">
        <v>17</v>
      </c>
      <c r="H3" s="11" t="s">
        <v>18</v>
      </c>
      <c r="I3" s="6"/>
      <c r="J3" s="10" t="s">
        <v>21</v>
      </c>
      <c r="K3" s="11" t="s">
        <v>22</v>
      </c>
      <c r="L3" s="11" t="s">
        <v>17</v>
      </c>
      <c r="M3" s="11" t="s">
        <v>18</v>
      </c>
      <c r="N3" s="11"/>
      <c r="O3" s="8"/>
    </row>
    <row r="4" spans="2:15" ht="12.75">
      <c r="B4" s="1" t="s">
        <v>0</v>
      </c>
      <c r="E4" s="12">
        <f>'[1]Revised Sim Firm'!$F$27/'[1]Revised Sim Firm'!$C$27</f>
        <v>70113.53456162015</v>
      </c>
      <c r="F4" s="13">
        <v>11147</v>
      </c>
      <c r="G4" s="14">
        <f>F4/150</f>
        <v>74.31333333333333</v>
      </c>
      <c r="H4" s="15">
        <f>E4*G4</f>
        <v>5210370.465055865</v>
      </c>
      <c r="I4" s="16"/>
      <c r="J4" s="17">
        <f>'[2]Subtract 4.6''s'!$N$49</f>
        <v>79416.65616305909</v>
      </c>
      <c r="K4" s="13">
        <v>11147</v>
      </c>
      <c r="L4" s="14">
        <f>K4/150</f>
        <v>74.31333333333333</v>
      </c>
      <c r="M4" s="13">
        <f>J4*L4</f>
        <v>5901716.441664131</v>
      </c>
      <c r="N4" s="13"/>
      <c r="O4" s="18">
        <f>(J4-E4)/E4</f>
        <v>0.13268652992045027</v>
      </c>
    </row>
    <row r="5" spans="2:15" ht="12.75">
      <c r="B5" s="1" t="s">
        <v>1</v>
      </c>
      <c r="E5" s="12">
        <f>'[1]Revised Sim Firm'!$F$33/'[1]Revised Sim Firm'!$C$33</f>
        <v>67460.25802812936</v>
      </c>
      <c r="F5" s="13">
        <v>6345</v>
      </c>
      <c r="G5" s="14">
        <f>F5/450</f>
        <v>14.1</v>
      </c>
      <c r="H5" s="13">
        <f>E5*G5</f>
        <v>951189.638196624</v>
      </c>
      <c r="I5" s="19"/>
      <c r="J5" s="17">
        <f>'[2]Subtract 4.6''s'!$AY$49</f>
        <v>75382.84078347922</v>
      </c>
      <c r="K5" s="13">
        <v>6345</v>
      </c>
      <c r="L5" s="14">
        <f>K5/450</f>
        <v>14.1</v>
      </c>
      <c r="M5" s="13">
        <f>J5*L5</f>
        <v>1062898.0550470569</v>
      </c>
      <c r="N5" s="13"/>
      <c r="O5" s="18">
        <f>(J5-E5)/E5</f>
        <v>0.11744074195575001</v>
      </c>
    </row>
    <row r="6" spans="2:15" ht="12.75">
      <c r="B6" s="1" t="s">
        <v>2</v>
      </c>
      <c r="E6" s="12">
        <f>'[1]Revised Sim Firm'!$F$42/'[1]Revised Sim Firm'!$C$42</f>
        <v>65982.82045640408</v>
      </c>
      <c r="F6" s="13">
        <v>4176</v>
      </c>
      <c r="G6" s="14">
        <f>F6/330</f>
        <v>12.654545454545454</v>
      </c>
      <c r="H6" s="13">
        <f>E6*G6</f>
        <v>834982.600684677</v>
      </c>
      <c r="I6" s="19"/>
      <c r="J6" s="17">
        <f>'[2]Subtract 4.6''s'!$AG$49</f>
        <v>76641.24233220436</v>
      </c>
      <c r="K6" s="13">
        <v>4176</v>
      </c>
      <c r="L6" s="14">
        <f>K6/330</f>
        <v>12.654545454545454</v>
      </c>
      <c r="M6" s="13">
        <f>J6*L6</f>
        <v>969860.0847857133</v>
      </c>
      <c r="N6" s="13"/>
      <c r="O6" s="18">
        <f>(J6-E6)/E6</f>
        <v>0.16153328702949998</v>
      </c>
    </row>
    <row r="7" spans="2:15" ht="12.75">
      <c r="B7" s="1" t="s">
        <v>3</v>
      </c>
      <c r="E7" s="12">
        <f>'[1]Revised Sim Firm'!$F$63/'[1]Revised Sim Firm'!$C$63</f>
        <v>61629.235784134726</v>
      </c>
      <c r="F7" s="13">
        <v>2069</v>
      </c>
      <c r="G7" s="14">
        <f>F7/225</f>
        <v>9.195555555555556</v>
      </c>
      <c r="H7" s="13">
        <f>E7*G7</f>
        <v>566715.0614994434</v>
      </c>
      <c r="I7" s="19"/>
      <c r="J7" s="17">
        <f>'[2]Subtract 4.6''s'!$DP$49</f>
        <v>66128.78246584797</v>
      </c>
      <c r="K7" s="13">
        <v>2069</v>
      </c>
      <c r="L7" s="14">
        <f>K7/225</f>
        <v>9.195555555555556</v>
      </c>
      <c r="M7" s="13">
        <f>J7*L7</f>
        <v>608090.8929859531</v>
      </c>
      <c r="N7" s="13"/>
      <c r="O7" s="18">
        <f>(J7-E7)/E7</f>
        <v>0.07300993796959532</v>
      </c>
    </row>
    <row r="8" spans="2:15" ht="12.75">
      <c r="B8" s="1" t="s">
        <v>4</v>
      </c>
      <c r="E8" s="12">
        <f>'[1]Revised Sim Firm'!$F$50/'[1]Revised Sim Firm'!$C$50</f>
        <v>61010.82918170516</v>
      </c>
      <c r="F8" s="13">
        <v>2942</v>
      </c>
      <c r="G8" s="14">
        <f>F8/180</f>
        <v>16.344444444444445</v>
      </c>
      <c r="H8" s="13">
        <f>E8*G8</f>
        <v>997188.1080698699</v>
      </c>
      <c r="I8" s="19"/>
      <c r="J8" s="17">
        <f>'[2]Subtract 4.6''s'!$CI$49</f>
        <v>79708.82282171538</v>
      </c>
      <c r="K8" s="13">
        <v>2942</v>
      </c>
      <c r="L8" s="14">
        <f>K8/180</f>
        <v>16.344444444444445</v>
      </c>
      <c r="M8" s="13">
        <f>J8*L8</f>
        <v>1302796.4263415926</v>
      </c>
      <c r="N8" s="13"/>
      <c r="O8" s="18">
        <f>(J8-E8)/E8</f>
        <v>0.3064700790137277</v>
      </c>
    </row>
    <row r="9" spans="4:15" ht="12.75">
      <c r="D9" s="20" t="s">
        <v>19</v>
      </c>
      <c r="E9" s="12"/>
      <c r="F9" s="21">
        <f>SUM(F4:F8)</f>
        <v>26679</v>
      </c>
      <c r="G9" s="22">
        <f>SUM(G4:G8)</f>
        <v>126.60787878787879</v>
      </c>
      <c r="H9" s="21">
        <f>SUM(H4:H8)</f>
        <v>8560445.87350648</v>
      </c>
      <c r="I9" s="19"/>
      <c r="J9" s="17"/>
      <c r="K9" s="21">
        <f>SUM(K4:K8)</f>
        <v>26679</v>
      </c>
      <c r="L9" s="22">
        <f>SUM(L4:L8)</f>
        <v>126.60787878787879</v>
      </c>
      <c r="M9" s="21">
        <f>SUM(M4:M8)</f>
        <v>9845361.900824448</v>
      </c>
      <c r="N9" s="21">
        <f>M9-H9</f>
        <v>1284916.0273179673</v>
      </c>
      <c r="O9" s="23">
        <f>(M9-H9)/H9</f>
        <v>0.15009919416634865</v>
      </c>
    </row>
    <row r="10" spans="5:15" ht="12.75">
      <c r="E10" s="12"/>
      <c r="F10" s="14"/>
      <c r="G10" s="14"/>
      <c r="H10" s="14"/>
      <c r="I10" s="24"/>
      <c r="J10" s="17"/>
      <c r="K10" s="14"/>
      <c r="L10" s="14"/>
      <c r="M10" s="14"/>
      <c r="N10" s="14"/>
      <c r="O10" s="8"/>
    </row>
    <row r="11" spans="1:15" ht="12.75">
      <c r="A11" s="1" t="s">
        <v>7</v>
      </c>
      <c r="E11" s="12"/>
      <c r="F11" s="14"/>
      <c r="G11" s="14"/>
      <c r="H11" s="14"/>
      <c r="I11" s="24"/>
      <c r="J11" s="17"/>
      <c r="K11" s="14"/>
      <c r="L11" s="14"/>
      <c r="M11" s="14"/>
      <c r="N11" s="14"/>
      <c r="O11" s="8"/>
    </row>
    <row r="12" spans="1:15" ht="12.75">
      <c r="A12" s="9" t="s">
        <v>16</v>
      </c>
      <c r="E12" s="12"/>
      <c r="F12" s="14"/>
      <c r="G12" s="14"/>
      <c r="H12" s="14"/>
      <c r="I12" s="24"/>
      <c r="J12" s="17"/>
      <c r="K12" s="14"/>
      <c r="L12" s="14"/>
      <c r="M12" s="14"/>
      <c r="N12" s="14"/>
      <c r="O12" s="8"/>
    </row>
    <row r="13" spans="1:15" ht="12.75">
      <c r="A13" s="25"/>
      <c r="B13" s="1" t="s">
        <v>0</v>
      </c>
      <c r="E13" s="12">
        <f>'[1]Revised Sim Firm'!$O$27/'[1]Revised Sim Firm'!$L$27</f>
        <v>89935.00773713851</v>
      </c>
      <c r="F13" s="14"/>
      <c r="G13" s="14">
        <f>G4*0.1</f>
        <v>7.431333333333334</v>
      </c>
      <c r="H13" s="13">
        <f>E13*G13</f>
        <v>668337.0208305886</v>
      </c>
      <c r="I13" s="24"/>
      <c r="J13" s="17">
        <f>'[2]Supv - All Caseload'!$I$32</f>
        <v>100545.96546225</v>
      </c>
      <c r="K13" s="14"/>
      <c r="L13" s="14">
        <f>L4*0.1</f>
        <v>7.431333333333334</v>
      </c>
      <c r="M13" s="13">
        <f>J13*L13</f>
        <v>747190.5846718005</v>
      </c>
      <c r="N13" s="13"/>
      <c r="O13" s="18">
        <f>(J13-E13)/E13</f>
        <v>0.11798473133093093</v>
      </c>
    </row>
    <row r="14" spans="1:15" ht="12.75">
      <c r="A14" s="25"/>
      <c r="B14" s="1" t="s">
        <v>1</v>
      </c>
      <c r="E14" s="12">
        <f>'[1]Revised Sim Firm'!$O$33/'[1]Revised Sim Firm'!$L$33</f>
        <v>89093.65375639999</v>
      </c>
      <c r="F14" s="14"/>
      <c r="G14" s="26">
        <f>G5*0.1</f>
        <v>1.4100000000000001</v>
      </c>
      <c r="H14" s="13">
        <f>E14*G14</f>
        <v>125622.051796524</v>
      </c>
      <c r="I14" s="24"/>
      <c r="J14" s="17">
        <f>'[2]Supv - All Caseload'!$T$32</f>
        <v>100551</v>
      </c>
      <c r="K14" s="14"/>
      <c r="L14" s="26">
        <f>L5*0.1</f>
        <v>1.4100000000000001</v>
      </c>
      <c r="M14" s="13">
        <f>J14*L14</f>
        <v>141776.91</v>
      </c>
      <c r="N14" s="13"/>
      <c r="O14" s="18">
        <f>(J14-E14)/E14</f>
        <v>0.12859890419273529</v>
      </c>
    </row>
    <row r="15" spans="1:15" ht="12.75">
      <c r="A15" s="25"/>
      <c r="B15" s="1" t="s">
        <v>2</v>
      </c>
      <c r="E15" s="12">
        <f>'[1]Revised Sim Firm'!$O$42/'[1]Revised Sim Firm'!$L$42</f>
        <v>93426.47582358053</v>
      </c>
      <c r="F15" s="14"/>
      <c r="G15" s="26">
        <f>G6*0.1</f>
        <v>1.2654545454545456</v>
      </c>
      <c r="H15" s="13">
        <f>E15*G15</f>
        <v>118226.9584967492</v>
      </c>
      <c r="I15" s="24"/>
      <c r="J15" s="17">
        <f>'[2]Supv - All Caseload'!$I$57</f>
        <v>101777</v>
      </c>
      <c r="K15" s="14"/>
      <c r="L15" s="26">
        <f>L6*0.1</f>
        <v>1.2654545454545456</v>
      </c>
      <c r="M15" s="13">
        <f>J15*L15</f>
        <v>128794.16727272728</v>
      </c>
      <c r="N15" s="13"/>
      <c r="O15" s="18">
        <f>(J15-E15)/E15</f>
        <v>0.089380703947219</v>
      </c>
    </row>
    <row r="16" spans="1:15" ht="12.75">
      <c r="A16" s="25"/>
      <c r="B16" s="1" t="s">
        <v>3</v>
      </c>
      <c r="E16" s="12">
        <f>'[1]Revised Sim Firm'!$O$63/'[1]Revised Sim Firm'!$L$63</f>
        <v>84896.23237881882</v>
      </c>
      <c r="F16" s="14"/>
      <c r="G16" s="26">
        <f>G7*0.1</f>
        <v>0.9195555555555557</v>
      </c>
      <c r="H16" s="13">
        <f>E16*G16</f>
        <v>78066.8021296783</v>
      </c>
      <c r="I16" s="24"/>
      <c r="J16" s="17">
        <f>'[2]Supv - All Caseload'!$AL$32</f>
        <v>98618.78528172</v>
      </c>
      <c r="K16" s="14"/>
      <c r="L16" s="26">
        <f>L7*0.1</f>
        <v>0.9195555555555557</v>
      </c>
      <c r="M16" s="13">
        <f>J16*L16</f>
        <v>90685.4518879461</v>
      </c>
      <c r="N16" s="13"/>
      <c r="O16" s="18">
        <f>(J16-E16)/E16</f>
        <v>0.16163912718375106</v>
      </c>
    </row>
    <row r="17" spans="1:15" ht="12.75">
      <c r="A17" s="25"/>
      <c r="B17" s="1" t="s">
        <v>4</v>
      </c>
      <c r="E17" s="12">
        <f>'[1]Revised Sim Firm'!$O$50/'[1]Revised Sim Firm'!$L$50</f>
        <v>89093.6537564</v>
      </c>
      <c r="F17" s="14"/>
      <c r="G17" s="26">
        <f>G8*0.1</f>
        <v>1.6344444444444446</v>
      </c>
      <c r="H17" s="13">
        <f>E17*G17</f>
        <v>145618.6274174049</v>
      </c>
      <c r="I17" s="24"/>
      <c r="J17" s="17">
        <f>'[2]Supv - All Caseload'!$AC$32</f>
        <v>101305.9222900625</v>
      </c>
      <c r="K17" s="14"/>
      <c r="L17" s="26">
        <f>L8*0.1</f>
        <v>1.6344444444444446</v>
      </c>
      <c r="M17" s="13">
        <f>J17*L17</f>
        <v>165578.9018763133</v>
      </c>
      <c r="N17" s="13"/>
      <c r="O17" s="18">
        <f>(J17-E17)/E17</f>
        <v>0.13707226069157857</v>
      </c>
    </row>
    <row r="18" spans="1:15" ht="12.75">
      <c r="A18" s="25"/>
      <c r="D18" s="20" t="s">
        <v>19</v>
      </c>
      <c r="E18" s="12"/>
      <c r="F18" s="14"/>
      <c r="G18" s="27">
        <f>SUM(G13:G17)</f>
        <v>12.66078787878788</v>
      </c>
      <c r="H18" s="21">
        <f>SUM(H13:H17)</f>
        <v>1135871.460670945</v>
      </c>
      <c r="I18" s="24"/>
      <c r="J18" s="17"/>
      <c r="K18" s="14"/>
      <c r="L18" s="27">
        <f>SUM(L13:L17)</f>
        <v>12.66078787878788</v>
      </c>
      <c r="M18" s="21">
        <f>SUM(M13:M17)</f>
        <v>1274026.0157087871</v>
      </c>
      <c r="N18" s="21">
        <f>M18-H18</f>
        <v>138154.55503784213</v>
      </c>
      <c r="O18" s="28">
        <f>(M18-H18)/H18</f>
        <v>0.12162868759484104</v>
      </c>
    </row>
    <row r="19" spans="1:15" ht="12.75">
      <c r="A19" s="25"/>
      <c r="E19" s="12"/>
      <c r="F19" s="14"/>
      <c r="G19" s="26"/>
      <c r="H19" s="13"/>
      <c r="I19" s="24"/>
      <c r="J19" s="17"/>
      <c r="K19" s="14"/>
      <c r="L19" s="14"/>
      <c r="M19" s="14"/>
      <c r="N19" s="14"/>
      <c r="O19" s="18"/>
    </row>
    <row r="20" spans="5:15" ht="12.75">
      <c r="E20" s="4"/>
      <c r="F20" s="5"/>
      <c r="G20" s="5"/>
      <c r="H20" s="5"/>
      <c r="I20" s="6"/>
      <c r="J20" s="7"/>
      <c r="K20" s="5"/>
      <c r="L20" s="5"/>
      <c r="M20" s="5"/>
      <c r="N20" s="5"/>
      <c r="O20" s="8"/>
    </row>
    <row r="21" spans="1:15" ht="12.75">
      <c r="A21" s="1" t="s">
        <v>24</v>
      </c>
      <c r="E21" s="29">
        <f>'[1]Benefits'!$D$29</f>
        <v>9883.261825413387</v>
      </c>
      <c r="F21" s="5"/>
      <c r="G21" s="5"/>
      <c r="H21" s="5"/>
      <c r="I21" s="6"/>
      <c r="J21" s="30">
        <f>'[2]2006 Budget'!$Y$91</f>
        <v>13507.786152032586</v>
      </c>
      <c r="K21" s="5"/>
      <c r="L21" s="5"/>
      <c r="M21" s="5"/>
      <c r="N21" s="5"/>
      <c r="O21" s="18">
        <f>(J21-E21)/E21</f>
        <v>0.3667336139268572</v>
      </c>
    </row>
    <row r="22" spans="4:15" ht="12.75">
      <c r="D22" s="20" t="s">
        <v>23</v>
      </c>
      <c r="E22" s="4">
        <v>275</v>
      </c>
      <c r="F22" s="5"/>
      <c r="G22" s="5"/>
      <c r="H22" s="5"/>
      <c r="I22" s="6"/>
      <c r="J22" s="7">
        <v>275</v>
      </c>
      <c r="K22" s="5"/>
      <c r="L22" s="5"/>
      <c r="M22" s="5"/>
      <c r="N22" s="5"/>
      <c r="O22" s="8"/>
    </row>
    <row r="23" spans="1:15" ht="12.75">
      <c r="A23" s="31" t="s">
        <v>15</v>
      </c>
      <c r="E23" s="4"/>
      <c r="F23" s="5"/>
      <c r="G23" s="5"/>
      <c r="H23" s="5"/>
      <c r="I23" s="6"/>
      <c r="J23" s="7"/>
      <c r="K23" s="5"/>
      <c r="L23" s="5"/>
      <c r="M23" s="5"/>
      <c r="N23" s="5"/>
      <c r="O23" s="8"/>
    </row>
    <row r="24" spans="1:14" ht="12.75">
      <c r="A24" s="32" t="s">
        <v>11</v>
      </c>
      <c r="F24" s="5"/>
      <c r="G24" s="5"/>
      <c r="H24" s="44">
        <f>E21*E22</f>
        <v>2717897.0019886815</v>
      </c>
      <c r="I24" s="6"/>
      <c r="K24" s="5"/>
      <c r="L24" s="5"/>
      <c r="M24" s="45" t="s">
        <v>32</v>
      </c>
      <c r="N24" s="46" t="e">
        <f>M24-H24</f>
        <v>#VALUE!</v>
      </c>
    </row>
    <row r="25" spans="1:15" ht="12.75">
      <c r="A25" s="32"/>
      <c r="E25" s="4"/>
      <c r="F25" s="5"/>
      <c r="G25" s="5"/>
      <c r="H25" s="5"/>
      <c r="I25" s="6"/>
      <c r="J25" s="7"/>
      <c r="K25" s="5"/>
      <c r="L25" s="5"/>
      <c r="M25" s="5"/>
      <c r="N25" s="5"/>
      <c r="O25" s="8"/>
    </row>
    <row r="26" spans="1:15" ht="12.75">
      <c r="A26" s="32"/>
      <c r="E26" s="4"/>
      <c r="F26" s="5"/>
      <c r="G26" s="5"/>
      <c r="H26" s="5"/>
      <c r="I26" s="6"/>
      <c r="J26" s="7"/>
      <c r="K26" s="5"/>
      <c r="L26" s="5"/>
      <c r="M26" s="5"/>
      <c r="N26" s="5"/>
      <c r="O26" s="8"/>
    </row>
    <row r="27" spans="1:15" ht="12.75">
      <c r="A27" s="1" t="s">
        <v>25</v>
      </c>
      <c r="E27" s="4"/>
      <c r="F27" s="5"/>
      <c r="G27" s="5"/>
      <c r="H27" s="5"/>
      <c r="I27" s="6"/>
      <c r="J27" s="7"/>
      <c r="K27" s="5"/>
      <c r="L27" s="5"/>
      <c r="M27" s="5"/>
      <c r="N27" s="5"/>
      <c r="O27" s="18"/>
    </row>
    <row r="28" spans="1:15" ht="12.75">
      <c r="A28" s="31"/>
      <c r="B28" s="1" t="s">
        <v>27</v>
      </c>
      <c r="E28" s="33"/>
      <c r="F28" s="5"/>
      <c r="G28" s="5">
        <f>G9*0.5</f>
        <v>63.303939393939395</v>
      </c>
      <c r="H28" s="13"/>
      <c r="I28" s="6"/>
      <c r="J28" s="34">
        <v>47527</v>
      </c>
      <c r="K28" s="5"/>
      <c r="L28" s="5">
        <f>L9*0.5</f>
        <v>63.303939393939395</v>
      </c>
      <c r="M28" s="13">
        <f>J28*L28</f>
        <v>3008646.3275757576</v>
      </c>
      <c r="N28" s="5"/>
      <c r="O28" s="8"/>
    </row>
    <row r="29" spans="2:15" ht="12.75">
      <c r="B29" s="1" t="s">
        <v>26</v>
      </c>
      <c r="E29" s="48"/>
      <c r="F29" s="5"/>
      <c r="G29" s="5">
        <f>G9*0.25</f>
        <v>31.651969696969697</v>
      </c>
      <c r="H29" s="13"/>
      <c r="I29" s="6"/>
      <c r="J29" s="49">
        <v>32346</v>
      </c>
      <c r="K29" s="5"/>
      <c r="L29" s="5">
        <f>L9*0.25</f>
        <v>31.651969696969697</v>
      </c>
      <c r="M29" s="13">
        <f>J29*L29</f>
        <v>1023814.6118181818</v>
      </c>
      <c r="N29" s="5"/>
      <c r="O29" s="8"/>
    </row>
    <row r="30" spans="4:15" ht="12.75">
      <c r="D30" s="20" t="s">
        <v>19</v>
      </c>
      <c r="E30" s="4"/>
      <c r="F30" s="5"/>
      <c r="G30" s="50">
        <f>SUM(G28:G29)</f>
        <v>94.95590909090909</v>
      </c>
      <c r="H30" s="21">
        <v>3942443</v>
      </c>
      <c r="I30" s="6"/>
      <c r="J30" s="7"/>
      <c r="K30" s="5"/>
      <c r="L30" s="50">
        <f>SUM(L28:L29)</f>
        <v>94.95590909090909</v>
      </c>
      <c r="M30" s="51">
        <f>M28+M29</f>
        <v>4032460.9393939395</v>
      </c>
      <c r="N30" s="5"/>
      <c r="O30" s="52">
        <f>(M30-H30)/H30</f>
        <v>0.022833035098779982</v>
      </c>
    </row>
    <row r="31" spans="5:15" ht="12.75">
      <c r="E31" s="4"/>
      <c r="F31" s="5"/>
      <c r="G31" s="5"/>
      <c r="I31" s="6"/>
      <c r="J31" s="7"/>
      <c r="K31" s="5"/>
      <c r="L31" s="5"/>
      <c r="N31" s="21">
        <f>M30-H30</f>
        <v>90017.93939393945</v>
      </c>
      <c r="O31" s="8"/>
    </row>
    <row r="32" spans="5:15" ht="12.75">
      <c r="E32" s="4"/>
      <c r="F32" s="5"/>
      <c r="G32" s="5"/>
      <c r="H32" s="5"/>
      <c r="I32" s="6"/>
      <c r="J32" s="7"/>
      <c r="K32" s="5"/>
      <c r="L32" s="5"/>
      <c r="M32" s="5"/>
      <c r="N32" s="5"/>
      <c r="O32" s="8"/>
    </row>
    <row r="33" spans="1:15" ht="12.75">
      <c r="A33" s="1" t="s">
        <v>9</v>
      </c>
      <c r="E33" s="29">
        <f>'[1]Agy Adm&amp;OH'!$D$29</f>
        <v>19141.220000000005</v>
      </c>
      <c r="F33" s="5"/>
      <c r="G33" s="5"/>
      <c r="H33" s="5"/>
      <c r="I33" s="6"/>
      <c r="J33" s="35">
        <f>('[3]Agency Details'!$G$27+'[3]Agency Details'!$H$27+'[3]Agency Details'!$K$27)/270.09</f>
        <v>18006.973859708025</v>
      </c>
      <c r="K33" s="14"/>
      <c r="L33" s="14"/>
      <c r="M33" s="14"/>
      <c r="N33" s="14"/>
      <c r="O33" s="18">
        <f>(J33-E33)/E33</f>
        <v>-0.059256731822317464</v>
      </c>
    </row>
    <row r="34" spans="1:15" ht="12.75">
      <c r="A34" s="31" t="s">
        <v>10</v>
      </c>
      <c r="E34" s="4">
        <v>275</v>
      </c>
      <c r="F34" s="5"/>
      <c r="G34" s="5"/>
      <c r="H34" s="5"/>
      <c r="I34" s="6"/>
      <c r="J34" s="7"/>
      <c r="K34" s="5"/>
      <c r="L34" s="5"/>
      <c r="M34" s="5"/>
      <c r="N34" s="5"/>
      <c r="O34" s="8"/>
    </row>
    <row r="35" spans="1:15" ht="12.75">
      <c r="A35" s="32" t="s">
        <v>11</v>
      </c>
      <c r="E35" s="4"/>
      <c r="F35" s="5"/>
      <c r="G35" s="5"/>
      <c r="H35" s="5"/>
      <c r="I35" s="6"/>
      <c r="J35" s="7"/>
      <c r="K35" s="5"/>
      <c r="L35" s="5"/>
      <c r="M35" s="5"/>
      <c r="N35" s="5"/>
      <c r="O35" s="8"/>
    </row>
    <row r="36" spans="1:15" ht="12.75">
      <c r="A36" s="31" t="s">
        <v>12</v>
      </c>
      <c r="E36" s="4"/>
      <c r="F36" s="5"/>
      <c r="G36" s="5"/>
      <c r="H36" s="5"/>
      <c r="I36" s="6"/>
      <c r="J36" s="7"/>
      <c r="K36" s="5"/>
      <c r="L36" s="5"/>
      <c r="M36" s="5"/>
      <c r="N36" s="5"/>
      <c r="O36" s="8"/>
    </row>
    <row r="37" spans="5:15" ht="12.75">
      <c r="E37" s="4"/>
      <c r="F37" s="5"/>
      <c r="G37" s="5"/>
      <c r="H37" s="5"/>
      <c r="I37" s="6"/>
      <c r="J37" s="7"/>
      <c r="K37" s="5"/>
      <c r="L37" s="5"/>
      <c r="M37" s="5"/>
      <c r="N37" s="5"/>
      <c r="O37" s="8"/>
    </row>
    <row r="38" spans="1:15" ht="12.75">
      <c r="A38" s="1" t="s">
        <v>8</v>
      </c>
      <c r="E38" s="4"/>
      <c r="F38" s="5"/>
      <c r="G38" s="5"/>
      <c r="H38" s="5"/>
      <c r="I38" s="6"/>
      <c r="J38" s="7"/>
      <c r="K38" s="5"/>
      <c r="L38" s="5"/>
      <c r="M38" s="5"/>
      <c r="N38" s="5"/>
      <c r="O38" s="8"/>
    </row>
    <row r="39" spans="1:15" ht="12.75">
      <c r="A39" s="32" t="s">
        <v>13</v>
      </c>
      <c r="E39" s="4"/>
      <c r="F39" s="5"/>
      <c r="G39" s="5"/>
      <c r="H39" s="5"/>
      <c r="I39" s="6"/>
      <c r="J39" s="7"/>
      <c r="K39" s="5"/>
      <c r="L39" s="5"/>
      <c r="M39" s="5"/>
      <c r="N39" s="5"/>
      <c r="O39" s="8"/>
    </row>
    <row r="40" spans="1:15" ht="12.75">
      <c r="A40" s="32" t="s">
        <v>14</v>
      </c>
      <c r="E40" s="36"/>
      <c r="F40" s="37"/>
      <c r="G40" s="37"/>
      <c r="H40" s="37"/>
      <c r="I40" s="38"/>
      <c r="J40" s="39"/>
      <c r="K40" s="37"/>
      <c r="L40" s="37"/>
      <c r="M40" s="37"/>
      <c r="N40" s="37"/>
      <c r="O40" s="40"/>
    </row>
    <row r="42" spans="1:15" ht="12.75">
      <c r="A42" s="1" t="s">
        <v>28</v>
      </c>
      <c r="E42" s="12"/>
      <c r="F42" s="14"/>
      <c r="G42" s="14"/>
      <c r="H42" s="14"/>
      <c r="I42" s="24"/>
      <c r="J42" s="17"/>
      <c r="K42" s="14"/>
      <c r="L42" s="14"/>
      <c r="M42" s="14"/>
      <c r="N42" s="14"/>
      <c r="O42" s="8"/>
    </row>
    <row r="43" spans="1:15" ht="12.75">
      <c r="A43" s="9" t="s">
        <v>16</v>
      </c>
      <c r="E43" s="12"/>
      <c r="F43" s="14"/>
      <c r="G43" s="14"/>
      <c r="H43" s="14"/>
      <c r="I43" s="24"/>
      <c r="J43" s="17"/>
      <c r="K43" s="14"/>
      <c r="L43" s="14"/>
      <c r="M43" s="14"/>
      <c r="N43" s="14"/>
      <c r="O43" s="8"/>
    </row>
    <row r="44" spans="1:15" ht="12.75">
      <c r="A44" s="1" t="s">
        <v>29</v>
      </c>
      <c r="B44" s="1" t="s">
        <v>0</v>
      </c>
      <c r="E44" s="12">
        <f>'[1]Revised Sim Firm'!$I$28</f>
        <v>61629.235784134726</v>
      </c>
      <c r="F44" s="14"/>
      <c r="G44" s="53">
        <v>3.25</v>
      </c>
      <c r="H44" s="13">
        <f>E44*G44</f>
        <v>200295.01629843787</v>
      </c>
      <c r="I44" s="24"/>
      <c r="J44" s="17">
        <f>J4</f>
        <v>79416.65616305909</v>
      </c>
      <c r="K44" s="14"/>
      <c r="L44" s="53">
        <v>3.45</v>
      </c>
      <c r="M44" s="13">
        <f>J44*L44</f>
        <v>273987.4637625539</v>
      </c>
      <c r="N44" s="14"/>
      <c r="O44" s="18">
        <f>(J44-E44)/E44</f>
        <v>0.2886198433682897</v>
      </c>
    </row>
    <row r="45" spans="2:15" ht="12.75">
      <c r="B45" s="1" t="s">
        <v>1</v>
      </c>
      <c r="E45" s="12">
        <f>'[1]Revised Sim Firm'!$I$28</f>
        <v>61629.235784134726</v>
      </c>
      <c r="F45" s="14"/>
      <c r="G45" s="53">
        <v>5</v>
      </c>
      <c r="H45" s="13">
        <f>E45*G45</f>
        <v>308146.1789206736</v>
      </c>
      <c r="I45" s="24"/>
      <c r="J45" s="17">
        <f>J5</f>
        <v>75382.84078347922</v>
      </c>
      <c r="K45" s="14"/>
      <c r="L45" s="53">
        <v>5.2</v>
      </c>
      <c r="M45" s="13">
        <f>J45*L45</f>
        <v>391990.77207409195</v>
      </c>
      <c r="N45" s="14"/>
      <c r="O45" s="18">
        <f>(J45-E45)/E45</f>
        <v>0.22316689188745537</v>
      </c>
    </row>
    <row r="46" spans="2:15" ht="12.75">
      <c r="B46" s="1" t="s">
        <v>2</v>
      </c>
      <c r="E46" s="12">
        <f>'[1]Revised Sim Firm'!$I$28</f>
        <v>61629.235784134726</v>
      </c>
      <c r="F46" s="14"/>
      <c r="G46" s="53">
        <v>0.6</v>
      </c>
      <c r="H46" s="13">
        <f>E46*G46</f>
        <v>36977.541470480835</v>
      </c>
      <c r="I46" s="24"/>
      <c r="J46" s="17">
        <f>J6</f>
        <v>76641.24233220436</v>
      </c>
      <c r="K46" s="14"/>
      <c r="L46" s="53">
        <v>0.6</v>
      </c>
      <c r="M46" s="13">
        <f>J46*L46</f>
        <v>45984.745399322615</v>
      </c>
      <c r="N46" s="14"/>
      <c r="O46" s="18">
        <f>(J46-E46)/E46</f>
        <v>0.24358579750447257</v>
      </c>
    </row>
    <row r="47" spans="2:15" ht="12.75">
      <c r="B47" s="1" t="s">
        <v>4</v>
      </c>
      <c r="E47" s="12">
        <f>'[1]Revised Sim Firm'!$I$28</f>
        <v>61629.235784134726</v>
      </c>
      <c r="G47" s="54">
        <v>1</v>
      </c>
      <c r="H47" s="13">
        <f>E47*G47</f>
        <v>61629.235784134726</v>
      </c>
      <c r="J47" s="1">
        <v>79709</v>
      </c>
      <c r="L47" s="54">
        <v>1.3</v>
      </c>
      <c r="M47" s="13">
        <f>J47*L47</f>
        <v>103621.7</v>
      </c>
      <c r="O47" s="18">
        <f>(J47-E47)/E47</f>
        <v>0.2933634335365159</v>
      </c>
    </row>
    <row r="48" spans="7:15" ht="12.75">
      <c r="G48" s="55">
        <f>SUM(G44:G47)</f>
        <v>9.85</v>
      </c>
      <c r="H48" s="47">
        <f>SUM(H44:H47)</f>
        <v>607047.9724737271</v>
      </c>
      <c r="L48" s="55">
        <f>SUM(L44:L47)</f>
        <v>10.55</v>
      </c>
      <c r="M48" s="47">
        <f>SUM(M44:M47)</f>
        <v>815584.6812359684</v>
      </c>
      <c r="N48" s="47">
        <f>M48-H48</f>
        <v>208536.7087622413</v>
      </c>
      <c r="O48" s="18">
        <f>(M48-H48)/H48</f>
        <v>0.3435259126432001</v>
      </c>
    </row>
    <row r="49" ht="12.75">
      <c r="A49" s="1" t="s">
        <v>30</v>
      </c>
    </row>
    <row r="52" ht="12.75">
      <c r="A52" s="1" t="s">
        <v>31</v>
      </c>
    </row>
    <row r="55" ht="12.75">
      <c r="N55" s="47" t="e">
        <f>N9+N18+N24+N31+N48</f>
        <v>#VALUE!</v>
      </c>
    </row>
  </sheetData>
  <mergeCells count="2">
    <mergeCell ref="E1:H1"/>
    <mergeCell ref="J1:M1"/>
  </mergeCells>
  <printOptions gridLines="1"/>
  <pageMargins left="0.2" right="0.2" top="0.47" bottom="0.27" header="0.5" footer="0.5"/>
  <pageSetup horizontalDpi="600" verticalDpi="600" orientation="landscape" paperSize="5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5" zoomScaleNormal="75" workbookViewId="0" topLeftCell="A1">
      <selection activeCell="H9" sqref="H9"/>
    </sheetView>
  </sheetViews>
  <sheetFormatPr defaultColWidth="9.140625" defaultRowHeight="12.75"/>
  <cols>
    <col min="1" max="1" width="11.421875" style="1" customWidth="1"/>
    <col min="2" max="3" width="9.140625" style="1" customWidth="1"/>
    <col min="4" max="4" width="12.421875" style="1" customWidth="1"/>
    <col min="5" max="5" width="16.28125" style="1" bestFit="1" customWidth="1"/>
    <col min="6" max="7" width="11.421875" style="41" hidden="1" customWidth="1"/>
    <col min="8" max="8" width="16.7109375" style="41" bestFit="1" customWidth="1"/>
    <col min="9" max="9" width="0.71875" style="42" customWidth="1"/>
    <col min="10" max="10" width="16.28125" style="1" customWidth="1"/>
    <col min="11" max="12" width="12.421875" style="41" hidden="1" customWidth="1"/>
    <col min="13" max="13" width="14.57421875" style="41" customWidth="1"/>
    <col min="14" max="14" width="15.00390625" style="59" bestFit="1" customWidth="1"/>
    <col min="15" max="15" width="15.57421875" style="1" customWidth="1"/>
    <col min="16" max="16384" width="9.140625" style="1" customWidth="1"/>
  </cols>
  <sheetData>
    <row r="1" spans="5:15" ht="12.75">
      <c r="E1" s="77">
        <v>2005</v>
      </c>
      <c r="F1" s="78"/>
      <c r="G1" s="78"/>
      <c r="H1" s="78"/>
      <c r="I1" s="2"/>
      <c r="J1" s="77">
        <v>2006</v>
      </c>
      <c r="K1" s="78"/>
      <c r="L1" s="78"/>
      <c r="M1" s="78"/>
      <c r="N1" s="58" t="s">
        <v>20</v>
      </c>
      <c r="O1" s="3" t="s">
        <v>6</v>
      </c>
    </row>
    <row r="2" spans="1:15" ht="12.75">
      <c r="A2" s="43" t="s">
        <v>5</v>
      </c>
      <c r="E2" s="4"/>
      <c r="F2" s="5"/>
      <c r="G2" s="5"/>
      <c r="H2" s="5"/>
      <c r="I2" s="6"/>
      <c r="J2" s="7"/>
      <c r="K2" s="5"/>
      <c r="L2" s="5"/>
      <c r="M2" s="5"/>
      <c r="O2" s="8"/>
    </row>
    <row r="3" spans="1:15" ht="12.75">
      <c r="A3" s="9" t="s">
        <v>16</v>
      </c>
      <c r="E3" s="10" t="s">
        <v>21</v>
      </c>
      <c r="F3" s="11" t="s">
        <v>22</v>
      </c>
      <c r="G3" s="11" t="s">
        <v>17</v>
      </c>
      <c r="H3" s="11" t="s">
        <v>18</v>
      </c>
      <c r="I3" s="6"/>
      <c r="J3" s="10" t="s">
        <v>21</v>
      </c>
      <c r="K3" s="11" t="s">
        <v>22</v>
      </c>
      <c r="L3" s="11" t="s">
        <v>17</v>
      </c>
      <c r="M3" s="11" t="s">
        <v>18</v>
      </c>
      <c r="N3" s="60"/>
      <c r="O3" s="8"/>
    </row>
    <row r="4" spans="2:15" ht="12.75">
      <c r="B4" s="1" t="s">
        <v>0</v>
      </c>
      <c r="E4" s="12">
        <f>'[1]Revised Sim Firm'!$F$27/'[1]Revised Sim Firm'!$C$27</f>
        <v>70113.53456162015</v>
      </c>
      <c r="F4" s="17">
        <v>11147</v>
      </c>
      <c r="G4" s="17">
        <f>F4/150</f>
        <v>74.31333333333333</v>
      </c>
      <c r="H4" s="64">
        <f>E4*G4</f>
        <v>5210370.465055865</v>
      </c>
      <c r="I4" s="16"/>
      <c r="J4" s="17">
        <f>'[2]Subtract 4.6''s'!$N$49</f>
        <v>79416.65616305909</v>
      </c>
      <c r="K4" s="13">
        <v>11147</v>
      </c>
      <c r="L4" s="14">
        <f>K4/150</f>
        <v>74.31333333333333</v>
      </c>
      <c r="M4" s="64">
        <f>J4*L4</f>
        <v>5901716.441664131</v>
      </c>
      <c r="N4" s="48"/>
      <c r="O4" s="18">
        <f>(J4-E4)/E4</f>
        <v>0.13268652992045027</v>
      </c>
    </row>
    <row r="5" spans="2:15" ht="12.75">
      <c r="B5" s="1" t="s">
        <v>1</v>
      </c>
      <c r="E5" s="48">
        <f>'[1]Revised Sim Firm'!$F$33/'[1]Revised Sim Firm'!$C$33</f>
        <v>67460.25802812936</v>
      </c>
      <c r="F5" s="13">
        <v>6345</v>
      </c>
      <c r="G5" s="14">
        <f>F5/450</f>
        <v>14.1</v>
      </c>
      <c r="H5" s="13">
        <f>E5*G5</f>
        <v>951189.638196624</v>
      </c>
      <c r="I5" s="19"/>
      <c r="J5" s="48">
        <f>'[2]Subtract 4.6''s'!$AY$49</f>
        <v>75382.84078347922</v>
      </c>
      <c r="K5" s="13">
        <v>6345</v>
      </c>
      <c r="L5" s="14">
        <f>K5/450</f>
        <v>14.1</v>
      </c>
      <c r="M5" s="13">
        <f>J5*L5</f>
        <v>1062898.0550470569</v>
      </c>
      <c r="N5" s="48"/>
      <c r="O5" s="18">
        <f>(J5-E5)/E5</f>
        <v>0.11744074195575001</v>
      </c>
    </row>
    <row r="6" spans="2:15" ht="12.75">
      <c r="B6" s="1" t="s">
        <v>2</v>
      </c>
      <c r="E6" s="48">
        <f>'[1]Revised Sim Firm'!$F$42/'[1]Revised Sim Firm'!$C$42</f>
        <v>65982.82045640408</v>
      </c>
      <c r="F6" s="13">
        <v>4176</v>
      </c>
      <c r="G6" s="14">
        <f>F6/330</f>
        <v>12.654545454545454</v>
      </c>
      <c r="H6" s="13">
        <f>E6*G6</f>
        <v>834982.600684677</v>
      </c>
      <c r="I6" s="19"/>
      <c r="J6" s="48">
        <f>'[2]Subtract 4.6''s'!$AG$49</f>
        <v>76641.24233220436</v>
      </c>
      <c r="K6" s="13">
        <v>4176</v>
      </c>
      <c r="L6" s="14">
        <f>K6/330</f>
        <v>12.654545454545454</v>
      </c>
      <c r="M6" s="13">
        <f>J6*L6</f>
        <v>969860.0847857133</v>
      </c>
      <c r="N6" s="48"/>
      <c r="O6" s="18">
        <f>(J6-E6)/E6</f>
        <v>0.16153328702949998</v>
      </c>
    </row>
    <row r="7" spans="2:15" ht="12.75">
      <c r="B7" s="1" t="s">
        <v>3</v>
      </c>
      <c r="E7" s="48">
        <f>'[1]Revised Sim Firm'!$F$63/'[1]Revised Sim Firm'!$C$63</f>
        <v>61629.235784134726</v>
      </c>
      <c r="F7" s="14">
        <v>2069</v>
      </c>
      <c r="G7" s="14">
        <f>F7/225</f>
        <v>9.195555555555556</v>
      </c>
      <c r="H7" s="13">
        <f>E7*G7</f>
        <v>566715.0614994434</v>
      </c>
      <c r="I7" s="19"/>
      <c r="J7" s="48">
        <f>'[2]Subtract 4.6''s'!$DP$49</f>
        <v>66128.78246584797</v>
      </c>
      <c r="K7" s="13">
        <v>2069</v>
      </c>
      <c r="L7" s="14">
        <f>K7/225</f>
        <v>9.195555555555556</v>
      </c>
      <c r="M7" s="13">
        <f>J7*L7</f>
        <v>608090.8929859531</v>
      </c>
      <c r="N7" s="48"/>
      <c r="O7" s="18">
        <f>(J7-E7)/E7</f>
        <v>0.07300993796959532</v>
      </c>
    </row>
    <row r="8" spans="2:15" ht="12.75">
      <c r="B8" s="1" t="s">
        <v>4</v>
      </c>
      <c r="E8" s="48">
        <f>'[1]Revised Sim Firm'!$F$50/'[1]Revised Sim Firm'!$C$50</f>
        <v>61010.82918170516</v>
      </c>
      <c r="F8" s="14">
        <v>2942</v>
      </c>
      <c r="G8" s="14">
        <f>F8/180</f>
        <v>16.344444444444445</v>
      </c>
      <c r="H8" s="13">
        <f>E8*G8</f>
        <v>997188.1080698699</v>
      </c>
      <c r="I8" s="19"/>
      <c r="J8" s="48">
        <f>'[2]Subtract 4.6''s'!$CI$49</f>
        <v>79708.82282171538</v>
      </c>
      <c r="K8" s="13">
        <v>2942</v>
      </c>
      <c r="L8" s="14">
        <f>K8/180</f>
        <v>16.344444444444445</v>
      </c>
      <c r="M8" s="13">
        <f>J8*L8</f>
        <v>1302796.4263415926</v>
      </c>
      <c r="N8" s="48"/>
      <c r="O8" s="18">
        <f>(J8-E8)/E8</f>
        <v>0.3064700790137277</v>
      </c>
    </row>
    <row r="9" spans="4:15" ht="12.75">
      <c r="D9" s="20" t="s">
        <v>19</v>
      </c>
      <c r="E9" s="12"/>
      <c r="F9" s="21">
        <f>SUM(F4:F8)</f>
        <v>26679</v>
      </c>
      <c r="G9" s="22">
        <f>SUM(G4:G8)</f>
        <v>126.60787878787879</v>
      </c>
      <c r="H9" s="65">
        <f>SUM(H4:H8)</f>
        <v>8560445.87350648</v>
      </c>
      <c r="I9" s="19"/>
      <c r="J9" s="17"/>
      <c r="K9" s="21">
        <f>SUM(K4:K8)</f>
        <v>26679</v>
      </c>
      <c r="L9" s="22">
        <f>SUM(L4:L8)</f>
        <v>126.60787878787879</v>
      </c>
      <c r="M9" s="65">
        <f>SUM(M4:M8)</f>
        <v>9845361.900824448</v>
      </c>
      <c r="N9" s="69">
        <f>M9-H9</f>
        <v>1284916.0273179673</v>
      </c>
      <c r="O9" s="23">
        <f>(M9-H9)/H9</f>
        <v>0.15009919416634865</v>
      </c>
    </row>
    <row r="10" spans="5:15" ht="12.75">
      <c r="E10" s="12"/>
      <c r="F10" s="14"/>
      <c r="G10" s="14"/>
      <c r="H10" s="14"/>
      <c r="I10" s="24"/>
      <c r="J10" s="17"/>
      <c r="K10" s="14"/>
      <c r="L10" s="14"/>
      <c r="M10" s="14"/>
      <c r="N10" s="62"/>
      <c r="O10" s="8"/>
    </row>
    <row r="11" spans="1:15" ht="12.75">
      <c r="A11" s="43" t="s">
        <v>33</v>
      </c>
      <c r="E11" s="12"/>
      <c r="F11" s="14"/>
      <c r="G11" s="14"/>
      <c r="H11" s="14"/>
      <c r="I11" s="24"/>
      <c r="J11" s="17"/>
      <c r="K11" s="14"/>
      <c r="L11" s="14"/>
      <c r="M11" s="14"/>
      <c r="N11" s="62"/>
      <c r="O11" s="8"/>
    </row>
    <row r="12" spans="1:15" ht="12.75">
      <c r="A12" s="9" t="s">
        <v>16</v>
      </c>
      <c r="E12" s="12"/>
      <c r="F12" s="14"/>
      <c r="G12" s="14"/>
      <c r="H12" s="14"/>
      <c r="I12" s="24"/>
      <c r="J12" s="17"/>
      <c r="K12" s="14"/>
      <c r="L12" s="14"/>
      <c r="M12" s="14"/>
      <c r="N12" s="62"/>
      <c r="O12" s="8"/>
    </row>
    <row r="13" spans="1:15" ht="12.75">
      <c r="A13" s="25"/>
      <c r="B13" s="1" t="s">
        <v>0</v>
      </c>
      <c r="E13" s="12">
        <f>'[1]Revised Sim Firm'!$O$27/'[1]Revised Sim Firm'!$L$27</f>
        <v>89935.00773713851</v>
      </c>
      <c r="F13" s="14"/>
      <c r="G13" s="14">
        <f>G4*0.1</f>
        <v>7.431333333333334</v>
      </c>
      <c r="H13" s="64">
        <f>E13*G13</f>
        <v>668337.0208305886</v>
      </c>
      <c r="I13" s="24"/>
      <c r="J13" s="17">
        <f>'[2]Supv - All Caseload'!$I$32</f>
        <v>100545.96546225</v>
      </c>
      <c r="K13" s="14"/>
      <c r="L13" s="14">
        <f>L4*0.1</f>
        <v>7.431333333333334</v>
      </c>
      <c r="M13" s="12">
        <f>J13*L13</f>
        <v>747190.5846718005</v>
      </c>
      <c r="N13" s="48"/>
      <c r="O13" s="18">
        <f>(J13-E13)/E13</f>
        <v>0.11798473133093093</v>
      </c>
    </row>
    <row r="14" spans="1:15" ht="12.75">
      <c r="A14" s="25"/>
      <c r="B14" s="1" t="s">
        <v>1</v>
      </c>
      <c r="E14" s="48">
        <f>'[1]Revised Sim Firm'!$O$33/'[1]Revised Sim Firm'!$L$33</f>
        <v>89093.65375639999</v>
      </c>
      <c r="F14" s="14"/>
      <c r="G14" s="26">
        <f>G5*0.1</f>
        <v>1.4100000000000001</v>
      </c>
      <c r="H14" s="13">
        <f>E14*G14</f>
        <v>125622.051796524</v>
      </c>
      <c r="I14" s="24"/>
      <c r="J14" s="48">
        <f>'[2]Supv - All Caseload'!$T$32</f>
        <v>100551</v>
      </c>
      <c r="K14" s="14"/>
      <c r="L14" s="26">
        <f>L5*0.1</f>
        <v>1.4100000000000001</v>
      </c>
      <c r="M14" s="13">
        <f>J14*L14</f>
        <v>141776.91</v>
      </c>
      <c r="N14" s="48"/>
      <c r="O14" s="18">
        <f>(J14-E14)/E14</f>
        <v>0.12859890419273529</v>
      </c>
    </row>
    <row r="15" spans="1:15" ht="12.75">
      <c r="A15" s="25"/>
      <c r="B15" s="1" t="s">
        <v>2</v>
      </c>
      <c r="E15" s="48">
        <f>'[1]Revised Sim Firm'!$O$42/'[1]Revised Sim Firm'!$L$42</f>
        <v>93426.47582358053</v>
      </c>
      <c r="F15" s="14"/>
      <c r="G15" s="26">
        <f>G6*0.1</f>
        <v>1.2654545454545456</v>
      </c>
      <c r="H15" s="13">
        <f>E15*G15</f>
        <v>118226.9584967492</v>
      </c>
      <c r="I15" s="24"/>
      <c r="J15" s="48">
        <f>'[2]Supv - All Caseload'!$I$57</f>
        <v>101777</v>
      </c>
      <c r="K15" s="14"/>
      <c r="L15" s="26">
        <f>L6*0.1</f>
        <v>1.2654545454545456</v>
      </c>
      <c r="M15" s="13">
        <f>J15*L15</f>
        <v>128794.16727272728</v>
      </c>
      <c r="N15" s="48"/>
      <c r="O15" s="18">
        <f>(J15-E15)/E15</f>
        <v>0.089380703947219</v>
      </c>
    </row>
    <row r="16" spans="1:15" ht="12.75">
      <c r="A16" s="25"/>
      <c r="B16" s="1" t="s">
        <v>3</v>
      </c>
      <c r="E16" s="48">
        <f>'[1]Revised Sim Firm'!$O$63/'[1]Revised Sim Firm'!$L$63</f>
        <v>84896.23237881882</v>
      </c>
      <c r="F16" s="14"/>
      <c r="G16" s="26">
        <f>G7*0.1</f>
        <v>0.9195555555555557</v>
      </c>
      <c r="H16" s="13">
        <f>E16*G16</f>
        <v>78066.8021296783</v>
      </c>
      <c r="I16" s="24"/>
      <c r="J16" s="48">
        <f>'[2]Supv - All Caseload'!$AL$32</f>
        <v>98618.78528172</v>
      </c>
      <c r="K16" s="14"/>
      <c r="L16" s="26">
        <f>L7*0.1</f>
        <v>0.9195555555555557</v>
      </c>
      <c r="M16" s="13">
        <f>J16*L16</f>
        <v>90685.4518879461</v>
      </c>
      <c r="N16" s="48"/>
      <c r="O16" s="18">
        <f>(J16-E16)/E16</f>
        <v>0.16163912718375106</v>
      </c>
    </row>
    <row r="17" spans="1:15" ht="12.75">
      <c r="A17" s="25"/>
      <c r="B17" s="1" t="s">
        <v>4</v>
      </c>
      <c r="E17" s="48">
        <f>'[1]Revised Sim Firm'!$O$50/'[1]Revised Sim Firm'!$L$50</f>
        <v>89093.6537564</v>
      </c>
      <c r="F17" s="14"/>
      <c r="G17" s="26">
        <f>G8*0.1</f>
        <v>1.6344444444444446</v>
      </c>
      <c r="H17" s="13">
        <f>E17*G17</f>
        <v>145618.6274174049</v>
      </c>
      <c r="I17" s="24"/>
      <c r="J17" s="48">
        <f>'[2]Supv - All Caseload'!$AC$32</f>
        <v>101305.9222900625</v>
      </c>
      <c r="K17" s="14"/>
      <c r="L17" s="26">
        <f>L8*0.1</f>
        <v>1.6344444444444446</v>
      </c>
      <c r="M17" s="13">
        <f>J17*L17</f>
        <v>165578.9018763133</v>
      </c>
      <c r="N17" s="48"/>
      <c r="O17" s="18">
        <f>(J17-E17)/E17</f>
        <v>0.13707226069157857</v>
      </c>
    </row>
    <row r="18" spans="1:15" ht="12.75">
      <c r="A18" s="25"/>
      <c r="D18" s="20" t="s">
        <v>19</v>
      </c>
      <c r="E18" s="12"/>
      <c r="F18" s="14"/>
      <c r="G18" s="70">
        <f>SUM(G13:G17)</f>
        <v>12.66078787878788</v>
      </c>
      <c r="H18" s="65">
        <f>SUM(H13:H17)</f>
        <v>1135871.460670945</v>
      </c>
      <c r="I18" s="24"/>
      <c r="J18" s="17"/>
      <c r="K18" s="14"/>
      <c r="L18" s="70">
        <f>SUM(L13:L17)</f>
        <v>12.66078787878788</v>
      </c>
      <c r="M18" s="65">
        <f>SUM(M13:M17)</f>
        <v>1274026.0157087871</v>
      </c>
      <c r="N18" s="69">
        <f>M18-H18</f>
        <v>138154.55503784213</v>
      </c>
      <c r="O18" s="28">
        <f>(M18-H18)/H18</f>
        <v>0.12162868759484104</v>
      </c>
    </row>
    <row r="19" spans="1:15" ht="12.75">
      <c r="A19" s="25"/>
      <c r="E19" s="12"/>
      <c r="F19" s="14"/>
      <c r="G19" s="26"/>
      <c r="H19" s="13"/>
      <c r="I19" s="24"/>
      <c r="J19" s="17"/>
      <c r="K19" s="14"/>
      <c r="L19" s="14"/>
      <c r="M19" s="14"/>
      <c r="N19" s="62"/>
      <c r="O19" s="18"/>
    </row>
    <row r="20" spans="5:15" ht="12.75">
      <c r="E20" s="4"/>
      <c r="F20" s="5"/>
      <c r="G20" s="5"/>
      <c r="H20" s="5"/>
      <c r="I20" s="6"/>
      <c r="J20" s="7"/>
      <c r="K20" s="5"/>
      <c r="L20" s="5"/>
      <c r="M20" s="5"/>
      <c r="O20" s="8"/>
    </row>
    <row r="21" spans="1:15" ht="12.75">
      <c r="A21" s="43" t="s">
        <v>34</v>
      </c>
      <c r="E21" s="4"/>
      <c r="F21" s="5"/>
      <c r="G21" s="5"/>
      <c r="H21" s="5"/>
      <c r="I21" s="6"/>
      <c r="J21" s="7"/>
      <c r="K21" s="5"/>
      <c r="L21" s="5"/>
      <c r="M21" s="5"/>
      <c r="O21" s="18"/>
    </row>
    <row r="22" spans="1:15" ht="12.75">
      <c r="A22" s="31"/>
      <c r="B22" s="1" t="s">
        <v>37</v>
      </c>
      <c r="E22" s="56" t="s">
        <v>35</v>
      </c>
      <c r="F22" s="5"/>
      <c r="G22" s="5">
        <f>G9*0.5</f>
        <v>63.303939393939395</v>
      </c>
      <c r="H22" s="67" t="s">
        <v>35</v>
      </c>
      <c r="I22" s="6"/>
      <c r="J22" s="34">
        <v>47527</v>
      </c>
      <c r="K22" s="5"/>
      <c r="L22" s="5">
        <f>L9*0.5</f>
        <v>63.303939393939395</v>
      </c>
      <c r="M22" s="13">
        <f>J22*L22</f>
        <v>3008646.3275757576</v>
      </c>
      <c r="O22" s="8"/>
    </row>
    <row r="23" spans="2:15" ht="12.75">
      <c r="B23" s="1" t="s">
        <v>26</v>
      </c>
      <c r="E23" s="57" t="s">
        <v>35</v>
      </c>
      <c r="F23" s="5"/>
      <c r="G23" s="5">
        <f>G9*0.25</f>
        <v>31.651969696969697</v>
      </c>
      <c r="H23" s="68" t="s">
        <v>35</v>
      </c>
      <c r="I23" s="6"/>
      <c r="J23" s="49">
        <v>32346</v>
      </c>
      <c r="K23" s="5"/>
      <c r="L23" s="5">
        <f>L9*0.25</f>
        <v>31.651969696969697</v>
      </c>
      <c r="M23" s="13">
        <f>J23*L23</f>
        <v>1023814.6118181818</v>
      </c>
      <c r="O23" s="8"/>
    </row>
    <row r="24" spans="4:15" ht="12.75">
      <c r="D24" s="20" t="s">
        <v>19</v>
      </c>
      <c r="E24" s="4"/>
      <c r="F24" s="5"/>
      <c r="G24" s="50">
        <f>SUM(G22:G23)</f>
        <v>94.95590909090909</v>
      </c>
      <c r="H24" s="65">
        <v>3822865</v>
      </c>
      <c r="I24" s="6"/>
      <c r="J24" s="7"/>
      <c r="K24" s="5"/>
      <c r="L24" s="50">
        <f>SUM(L22:L23)</f>
        <v>94.95590909090909</v>
      </c>
      <c r="M24" s="65">
        <f>M22+M23</f>
        <v>4032460.9393939395</v>
      </c>
      <c r="N24" s="69">
        <f>M24-H24</f>
        <v>209595.93939393945</v>
      </c>
      <c r="O24" s="66">
        <f>(M24-H24)/H24</f>
        <v>0.05482692676668924</v>
      </c>
    </row>
    <row r="25" spans="5:15" ht="12.75">
      <c r="E25" s="4"/>
      <c r="F25" s="5"/>
      <c r="G25" s="5"/>
      <c r="I25" s="6"/>
      <c r="J25" s="7"/>
      <c r="K25" s="5"/>
      <c r="L25" s="5"/>
      <c r="O25" s="8"/>
    </row>
    <row r="26" spans="5:15" ht="12.75">
      <c r="E26" s="4"/>
      <c r="F26" s="5"/>
      <c r="G26" s="5"/>
      <c r="H26" s="5"/>
      <c r="I26" s="6"/>
      <c r="J26" s="7"/>
      <c r="K26" s="5"/>
      <c r="L26" s="5"/>
      <c r="M26" s="5"/>
      <c r="O26" s="8"/>
    </row>
    <row r="27" spans="1:15" ht="12.75">
      <c r="A27" s="43" t="s">
        <v>49</v>
      </c>
      <c r="E27" s="4"/>
      <c r="F27" s="5"/>
      <c r="G27" s="5"/>
      <c r="H27" s="5"/>
      <c r="I27" s="6"/>
      <c r="J27" s="7"/>
      <c r="K27" s="5"/>
      <c r="L27" s="5"/>
      <c r="M27" s="5"/>
      <c r="O27" s="8"/>
    </row>
    <row r="28" spans="2:13" ht="12.75">
      <c r="B28" s="1" t="s">
        <v>40</v>
      </c>
      <c r="E28" s="72" t="s">
        <v>35</v>
      </c>
      <c r="F28" s="5"/>
      <c r="G28" s="5"/>
      <c r="H28" s="5"/>
      <c r="I28" s="6"/>
      <c r="J28" s="34">
        <v>8498</v>
      </c>
      <c r="K28" s="5"/>
      <c r="L28" s="5"/>
      <c r="M28" s="5"/>
    </row>
    <row r="29" spans="2:15" ht="12.75">
      <c r="B29" s="1" t="s">
        <v>39</v>
      </c>
      <c r="E29" s="73" t="s">
        <v>35</v>
      </c>
      <c r="F29" s="5"/>
      <c r="G29" s="5"/>
      <c r="H29" s="5"/>
      <c r="I29" s="6"/>
      <c r="J29" s="34">
        <v>5010</v>
      </c>
      <c r="K29" s="5"/>
      <c r="L29" s="5"/>
      <c r="M29" s="5"/>
      <c r="O29" s="28"/>
    </row>
    <row r="30" spans="4:12" ht="12.75">
      <c r="D30" s="20" t="s">
        <v>38</v>
      </c>
      <c r="E30" s="44">
        <f>'[1]Benefits'!$D$29</f>
        <v>9883.261825413387</v>
      </c>
      <c r="F30" s="5"/>
      <c r="G30" s="5"/>
      <c r="I30" s="6"/>
      <c r="J30" s="71">
        <f>'[2]2006 Budget'!$Y$91</f>
        <v>13507.786152032586</v>
      </c>
      <c r="K30" s="5"/>
      <c r="L30" s="5"/>
    </row>
    <row r="31" spans="1:15" ht="12.75">
      <c r="A31" s="31"/>
      <c r="D31" s="20" t="s">
        <v>41</v>
      </c>
      <c r="E31" s="4"/>
      <c r="F31" s="5"/>
      <c r="G31" s="5"/>
      <c r="H31" s="65">
        <f>E30*271.8</f>
        <v>2686270.5641473588</v>
      </c>
      <c r="I31" s="6"/>
      <c r="J31" s="7"/>
      <c r="K31" s="5"/>
      <c r="L31" s="5"/>
      <c r="M31" s="65">
        <f>J30*271.8</f>
        <v>3671416.276122457</v>
      </c>
      <c r="N31" s="69">
        <f>M31-H31</f>
        <v>985145.7119750981</v>
      </c>
      <c r="O31" s="28">
        <f>(J30-E30)/E30</f>
        <v>0.3667336139268572</v>
      </c>
    </row>
    <row r="32" spans="1:15" ht="12.75">
      <c r="A32" s="32"/>
      <c r="E32" s="4"/>
      <c r="F32" s="5"/>
      <c r="G32" s="5"/>
      <c r="H32" s="5"/>
      <c r="I32" s="6"/>
      <c r="J32" s="7"/>
      <c r="K32" s="5"/>
      <c r="L32" s="5"/>
      <c r="M32" s="5"/>
      <c r="O32" s="8"/>
    </row>
    <row r="33" spans="1:15" ht="12.75">
      <c r="A33" s="43" t="s">
        <v>36</v>
      </c>
      <c r="E33" s="4"/>
      <c r="F33" s="5"/>
      <c r="G33" s="5"/>
      <c r="H33" s="65">
        <v>4842415</v>
      </c>
      <c r="I33" s="6"/>
      <c r="J33" s="7"/>
      <c r="K33" s="5"/>
      <c r="L33" s="5"/>
      <c r="M33" s="65">
        <v>5779985</v>
      </c>
      <c r="N33" s="69">
        <f>M33-H33</f>
        <v>937570</v>
      </c>
      <c r="O33" s="28">
        <f>(M33-H33)/H33</f>
        <v>0.1936162018331762</v>
      </c>
    </row>
    <row r="34" spans="1:15" ht="12.75">
      <c r="A34" s="75" t="s">
        <v>42</v>
      </c>
      <c r="E34" s="74"/>
      <c r="F34" s="5"/>
      <c r="G34" s="5"/>
      <c r="H34" s="5"/>
      <c r="I34" s="6"/>
      <c r="J34" s="17"/>
      <c r="K34" s="14"/>
      <c r="L34" s="14"/>
      <c r="M34" s="14"/>
      <c r="N34" s="62"/>
      <c r="O34" s="18"/>
    </row>
    <row r="35" spans="1:15" ht="12.75">
      <c r="A35" s="31" t="s">
        <v>10</v>
      </c>
      <c r="E35" s="4"/>
      <c r="F35" s="5"/>
      <c r="G35" s="5"/>
      <c r="H35" s="5"/>
      <c r="I35" s="6"/>
      <c r="J35" s="7"/>
      <c r="K35" s="5"/>
      <c r="L35" s="5"/>
      <c r="M35" s="5"/>
      <c r="O35" s="8"/>
    </row>
    <row r="36" spans="1:15" ht="12.75">
      <c r="A36" s="32" t="s">
        <v>11</v>
      </c>
      <c r="E36" s="4"/>
      <c r="F36" s="5"/>
      <c r="G36" s="5"/>
      <c r="H36" s="5"/>
      <c r="I36" s="6"/>
      <c r="J36" s="7"/>
      <c r="K36" s="5"/>
      <c r="L36" s="5"/>
      <c r="M36" s="5"/>
      <c r="O36" s="8"/>
    </row>
    <row r="37" spans="1:15" ht="12.75">
      <c r="A37" s="31"/>
      <c r="E37" s="4"/>
      <c r="F37" s="5"/>
      <c r="G37" s="5"/>
      <c r="H37" s="5"/>
      <c r="I37" s="6"/>
      <c r="J37" s="7"/>
      <c r="K37" s="5"/>
      <c r="L37" s="5"/>
      <c r="M37" s="5"/>
      <c r="O37" s="8"/>
    </row>
    <row r="38" ht="12.75">
      <c r="E38" s="4"/>
    </row>
    <row r="39" spans="1:15" ht="12.75">
      <c r="A39" s="43" t="s">
        <v>43</v>
      </c>
      <c r="E39" s="12"/>
      <c r="F39" s="14"/>
      <c r="G39" s="14"/>
      <c r="H39" s="14"/>
      <c r="I39" s="24"/>
      <c r="J39" s="17"/>
      <c r="K39" s="14"/>
      <c r="L39" s="14"/>
      <c r="M39" s="14"/>
      <c r="N39" s="62"/>
      <c r="O39" s="8"/>
    </row>
    <row r="40" spans="1:15" ht="12.75">
      <c r="A40" s="9" t="s">
        <v>47</v>
      </c>
      <c r="E40" s="12"/>
      <c r="F40" s="14"/>
      <c r="G40" s="14"/>
      <c r="H40" s="14"/>
      <c r="I40" s="24"/>
      <c r="J40" s="17"/>
      <c r="K40" s="14"/>
      <c r="L40" s="14"/>
      <c r="M40" s="14"/>
      <c r="N40" s="62"/>
      <c r="O40" s="8"/>
    </row>
    <row r="41" spans="1:15" ht="12.75">
      <c r="A41" s="25" t="s">
        <v>48</v>
      </c>
      <c r="E41" s="12"/>
      <c r="F41" s="14"/>
      <c r="G41" s="14"/>
      <c r="H41" s="14"/>
      <c r="I41" s="24"/>
      <c r="J41" s="17"/>
      <c r="K41" s="14"/>
      <c r="L41" s="14"/>
      <c r="M41" s="14"/>
      <c r="N41" s="62"/>
      <c r="O41" s="8"/>
    </row>
    <row r="42" spans="1:15" ht="12.75">
      <c r="A42" s="1" t="s">
        <v>29</v>
      </c>
      <c r="B42" s="1" t="s">
        <v>0</v>
      </c>
      <c r="E42" s="12">
        <f>'[1]Revised Sim Firm'!$I$28</f>
        <v>61629.235784134726</v>
      </c>
      <c r="F42" s="14"/>
      <c r="G42" s="53">
        <v>3.25</v>
      </c>
      <c r="H42" s="13">
        <f>E42*G42</f>
        <v>200295.01629843787</v>
      </c>
      <c r="I42" s="24"/>
      <c r="J42" s="17">
        <f>J4</f>
        <v>79416.65616305909</v>
      </c>
      <c r="K42" s="14"/>
      <c r="L42" s="53">
        <v>3.45</v>
      </c>
      <c r="M42" s="13">
        <f>J42*L42</f>
        <v>273987.4637625539</v>
      </c>
      <c r="N42" s="62"/>
      <c r="O42" s="18">
        <f>(J42-E42)/E42</f>
        <v>0.2886198433682897</v>
      </c>
    </row>
    <row r="43" spans="2:15" ht="12.75">
      <c r="B43" s="1" t="s">
        <v>1</v>
      </c>
      <c r="E43" s="48">
        <f>'[1]Revised Sim Firm'!$I$28</f>
        <v>61629.235784134726</v>
      </c>
      <c r="F43" s="14"/>
      <c r="G43" s="53">
        <v>5</v>
      </c>
      <c r="H43" s="13">
        <f>E43*G43</f>
        <v>308146.1789206736</v>
      </c>
      <c r="I43" s="24"/>
      <c r="J43" s="48">
        <f>J5</f>
        <v>75382.84078347922</v>
      </c>
      <c r="K43" s="14"/>
      <c r="L43" s="53">
        <v>5.2</v>
      </c>
      <c r="M43" s="13">
        <f>J43*L43</f>
        <v>391990.77207409195</v>
      </c>
      <c r="N43" s="62"/>
      <c r="O43" s="18">
        <f>(J43-E43)/E43</f>
        <v>0.22316689188745537</v>
      </c>
    </row>
    <row r="44" spans="2:15" ht="12.75">
      <c r="B44" s="1" t="s">
        <v>2</v>
      </c>
      <c r="E44" s="48">
        <f>'[1]Revised Sim Firm'!$I$28</f>
        <v>61629.235784134726</v>
      </c>
      <c r="F44" s="14"/>
      <c r="G44" s="53">
        <v>0.6</v>
      </c>
      <c r="H44" s="13">
        <f>E44*G44</f>
        <v>36977.541470480835</v>
      </c>
      <c r="I44" s="24"/>
      <c r="J44" s="48">
        <f>J6</f>
        <v>76641.24233220436</v>
      </c>
      <c r="K44" s="14"/>
      <c r="L44" s="53">
        <v>0.6</v>
      </c>
      <c r="M44" s="13">
        <f>J44*L44</f>
        <v>45984.745399322615</v>
      </c>
      <c r="N44" s="62"/>
      <c r="O44" s="18">
        <f>(J44-E44)/E44</f>
        <v>0.24358579750447257</v>
      </c>
    </row>
    <row r="45" spans="2:15" ht="12.75">
      <c r="B45" s="1" t="s">
        <v>4</v>
      </c>
      <c r="E45" s="48">
        <f>'[1]Revised Sim Firm'!$I$28</f>
        <v>61629.235784134726</v>
      </c>
      <c r="G45" s="54">
        <v>1</v>
      </c>
      <c r="H45" s="13">
        <f>E45*G45</f>
        <v>61629.235784134726</v>
      </c>
      <c r="J45" s="1">
        <v>79709</v>
      </c>
      <c r="L45" s="54">
        <v>1.3</v>
      </c>
      <c r="M45" s="13">
        <f>J45*L45</f>
        <v>103621.7</v>
      </c>
      <c r="O45" s="18">
        <f>(J45-E45)/E45</f>
        <v>0.2933634335365159</v>
      </c>
    </row>
    <row r="46" spans="5:15" ht="12.75">
      <c r="E46" s="4"/>
      <c r="G46" s="55">
        <f>SUM(G42:G45)</f>
        <v>9.85</v>
      </c>
      <c r="H46" s="65">
        <f>SUM(H42:H45)</f>
        <v>607047.9724737271</v>
      </c>
      <c r="J46" s="65"/>
      <c r="K46" s="65"/>
      <c r="L46" s="65">
        <f>SUM(L42:L45)</f>
        <v>10.55</v>
      </c>
      <c r="M46" s="65">
        <f>SUM(M42:M45)</f>
        <v>815584.6812359684</v>
      </c>
      <c r="N46" s="61">
        <f>M46-H46</f>
        <v>208536.7087622413</v>
      </c>
      <c r="O46" s="18">
        <f>(M46-H46)/H46</f>
        <v>0.3435259126432001</v>
      </c>
    </row>
    <row r="47" ht="12.75">
      <c r="E47" s="4"/>
    </row>
    <row r="48" spans="1:15" ht="12.75">
      <c r="A48" s="43" t="s">
        <v>44</v>
      </c>
      <c r="E48" s="4"/>
      <c r="F48" s="5"/>
      <c r="G48" s="5"/>
      <c r="H48" s="65">
        <v>23969659</v>
      </c>
      <c r="J48" s="65"/>
      <c r="K48" s="65"/>
      <c r="L48" s="65"/>
      <c r="M48" s="65">
        <v>28155165</v>
      </c>
      <c r="N48" s="69">
        <f>M48-H48</f>
        <v>4185506</v>
      </c>
      <c r="O48" s="28">
        <f>(M48-H48)/H48</f>
        <v>0.17461683539177592</v>
      </c>
    </row>
    <row r="49" spans="1:15" ht="12.75">
      <c r="A49" s="32" t="s">
        <v>14</v>
      </c>
      <c r="E49" s="7"/>
      <c r="F49" s="5"/>
      <c r="G49" s="5"/>
      <c r="H49" s="5"/>
      <c r="I49" s="6"/>
      <c r="J49" s="7"/>
      <c r="K49" s="5"/>
      <c r="L49" s="5"/>
      <c r="M49" s="5"/>
      <c r="N49" s="69"/>
      <c r="O49" s="76"/>
    </row>
    <row r="50" spans="14:15" ht="12.75">
      <c r="N50" s="69"/>
      <c r="O50" s="76"/>
    </row>
    <row r="51" spans="14:15" ht="12.75">
      <c r="N51" s="69"/>
      <c r="O51" s="76"/>
    </row>
    <row r="52" spans="1:15" ht="12.75">
      <c r="A52" s="43" t="s">
        <v>45</v>
      </c>
      <c r="H52" s="65">
        <v>26085754</v>
      </c>
      <c r="M52" s="65">
        <v>28155165</v>
      </c>
      <c r="N52" s="69">
        <f>M52-H52</f>
        <v>2069411</v>
      </c>
      <c r="O52" s="28">
        <f>(M52-H52)/H52</f>
        <v>0.07933107856495158</v>
      </c>
    </row>
    <row r="53" ht="12.75">
      <c r="A53" s="43" t="s">
        <v>46</v>
      </c>
    </row>
    <row r="54" spans="6:14" s="39" customFormat="1" ht="12.75">
      <c r="F54" s="37"/>
      <c r="G54" s="37"/>
      <c r="H54" s="37"/>
      <c r="I54" s="38"/>
      <c r="K54" s="37"/>
      <c r="L54" s="37"/>
      <c r="M54" s="37"/>
      <c r="N54" s="63"/>
    </row>
  </sheetData>
  <mergeCells count="2">
    <mergeCell ref="E1:H1"/>
    <mergeCell ref="J1:M1"/>
  </mergeCells>
  <printOptions gridLines="1"/>
  <pageMargins left="0.2" right="0.21" top="1" bottom="0.29" header="0.3" footer="0.5"/>
  <pageSetup horizontalDpi="600" verticalDpi="600" orientation="landscape" scale="95" r:id="rId1"/>
  <headerFooter alignWithMargins="0">
    <oddHeader>&amp;C&amp;"Arial,Bold"&amp;12PUBLIC DEFENSE PAYMENT MODEL
PRELIMINARY FISCAL ANALYSIS
July 13,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Public Defender</dc:creator>
  <cp:keywords/>
  <dc:description/>
  <cp:lastModifiedBy>Clarke, Monica</cp:lastModifiedBy>
  <cp:lastPrinted>2005-07-11T16:57:17Z</cp:lastPrinted>
  <dcterms:created xsi:type="dcterms:W3CDTF">2005-07-06T22:15:36Z</dcterms:created>
  <dcterms:modified xsi:type="dcterms:W3CDTF">2005-07-11T16:57:58Z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-1504837773</vt:i4>
  </property>
  <property fmtid="{D5CDD505-2E9C-101B-9397-08002B2CF9AE}" pid="3" name="_EmailSubject">
    <vt:lpwstr/>
  </property>
  <property fmtid="{D5CDD505-2E9C-101B-9397-08002B2CF9AE}" pid="4" name="_AuthorEmail">
    <vt:lpwstr>monica.clarke@comcast.net</vt:lpwstr>
  </property>
  <property fmtid="{D5CDD505-2E9C-101B-9397-08002B2CF9AE}" pid="5" name="_AuthorEmailDisplayName">
    <vt:lpwstr>Monica Clarke</vt:lpwstr>
  </property>
  <property fmtid="{D5CDD505-2E9C-101B-9397-08002B2CF9AE}" pid="6" name="_PreviousAdHocReviewCycleID">
    <vt:i4>799229106</vt:i4>
  </property>
</Properties>
</file>