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45" yWindow="510" windowWidth="10935" windowHeight="7905" activeTab="0"/>
  </bookViews>
  <sheets>
    <sheet name="All Projects Summary" sheetId="1" r:id="rId1"/>
  </sheets>
  <definedNames>
    <definedName name="_xlnm.Print_Area" localSheetId="0">'All Projects Summary'!$A$1:$O$42</definedName>
  </definedNames>
  <calcPr fullCalcOnLoad="1"/>
</workbook>
</file>

<file path=xl/sharedStrings.xml><?xml version="1.0" encoding="utf-8"?>
<sst xmlns="http://schemas.openxmlformats.org/spreadsheetml/2006/main" count="100" uniqueCount="89">
  <si>
    <t xml:space="preserve">Project </t>
  </si>
  <si>
    <t>Description</t>
  </si>
  <si>
    <t>Orig Estimate</t>
  </si>
  <si>
    <t>Johnson Building Repairs</t>
  </si>
  <si>
    <t>Courthouse Repairs</t>
  </si>
  <si>
    <t>134T01</t>
  </si>
  <si>
    <t>Elevator Repairs</t>
  </si>
  <si>
    <t>Stairwell Repairs</t>
  </si>
  <si>
    <t>134T02</t>
  </si>
  <si>
    <t>134T03</t>
  </si>
  <si>
    <t>75% FEMA Reimbursement</t>
  </si>
  <si>
    <t>134T04</t>
  </si>
  <si>
    <t>Debris Cleanup</t>
  </si>
  <si>
    <t>134T05</t>
  </si>
  <si>
    <t>Emergency Protection</t>
  </si>
  <si>
    <t>FEMA Project</t>
  </si>
  <si>
    <t>CFM-014, CFM-015</t>
  </si>
  <si>
    <t>CFM-013</t>
  </si>
  <si>
    <t>CFM-001 thru CFM--009</t>
  </si>
  <si>
    <t>CFM-010</t>
  </si>
  <si>
    <t>CFM-011</t>
  </si>
  <si>
    <t>CFM-006</t>
  </si>
  <si>
    <t>CFM-001</t>
  </si>
  <si>
    <t>CFM-012 &amp; CFM-016</t>
  </si>
  <si>
    <t>12.5% State Reimbursement</t>
  </si>
  <si>
    <t>Subtotal for Courthouse</t>
  </si>
  <si>
    <t>Outlying Building Repairs</t>
  </si>
  <si>
    <t>Current Budget</t>
  </si>
  <si>
    <t>134T06</t>
  </si>
  <si>
    <t>134T07</t>
  </si>
  <si>
    <t>134T08</t>
  </si>
  <si>
    <t>134T09</t>
  </si>
  <si>
    <t>134T10</t>
  </si>
  <si>
    <t>134T11</t>
  </si>
  <si>
    <t>134T12</t>
  </si>
  <si>
    <t>Ombudsman Office Repair</t>
  </si>
  <si>
    <t>Domestic Violence Office Repair</t>
  </si>
  <si>
    <t>W292 Repair</t>
  </si>
  <si>
    <t>Budget Office Repair</t>
  </si>
  <si>
    <t>Above ceiling Review</t>
  </si>
  <si>
    <t>W355 Wall replacement</t>
  </si>
  <si>
    <t>FEMA Approved Cost to Date</t>
  </si>
  <si>
    <t>Estimated Insurance Reimbursement</t>
  </si>
  <si>
    <t>Estimated County Liability</t>
  </si>
  <si>
    <t>Status</t>
  </si>
  <si>
    <t>Complete</t>
  </si>
  <si>
    <t>Design Complete</t>
  </si>
  <si>
    <t>In Design</t>
  </si>
  <si>
    <t>Courthouse Earthquake Repairs</t>
  </si>
  <si>
    <t>Report Complete</t>
  </si>
  <si>
    <t>On-going</t>
  </si>
  <si>
    <t>Master Project</t>
  </si>
  <si>
    <t>Projected Balance</t>
  </si>
  <si>
    <t>Projected Cost of Repairs to Complete</t>
  </si>
  <si>
    <t>Total Earthquake Repairs</t>
  </si>
  <si>
    <t>Expected Insurance Settlement for 395134</t>
  </si>
  <si>
    <t>Expected Insurance Settlement for 395137</t>
  </si>
  <si>
    <t>Portion of Insurance Deductible</t>
  </si>
  <si>
    <t>Misc. Crack &amp; Wall Repairs**</t>
  </si>
  <si>
    <t>CH Corridor/Public Assembly Wall Repairs**</t>
  </si>
  <si>
    <t xml:space="preserve">Nisqually Earthquake Project Summary </t>
  </si>
  <si>
    <t>**$337,000 transferred from 134T03 to 395137 as part of year end project reconciliation</t>
  </si>
  <si>
    <t>Additional Maintenance Cost incurred in Facilities Mgmt internal service fund for earthquake cleanup and repair not included above.</t>
  </si>
  <si>
    <t>80% Complete</t>
  </si>
  <si>
    <t>Net to Finance</t>
  </si>
  <si>
    <t>Estimated Net to Finance</t>
  </si>
  <si>
    <t>Less Projected balance</t>
  </si>
  <si>
    <t>Total Current Estimate</t>
  </si>
  <si>
    <t>FEMA</t>
  </si>
  <si>
    <t xml:space="preserve">State </t>
  </si>
  <si>
    <t>Insurance</t>
  </si>
  <si>
    <t>Total Estimated cost</t>
  </si>
  <si>
    <t>Less Ins Deductible</t>
  </si>
  <si>
    <t>Total</t>
  </si>
  <si>
    <t>CH Stairwells and Lobbies</t>
  </si>
  <si>
    <t>Outlying</t>
  </si>
  <si>
    <t>Johnson Bldg</t>
  </si>
  <si>
    <t>Miscellaneous Other</t>
  </si>
  <si>
    <t>2001 Actuals</t>
  </si>
  <si>
    <t>2002 Actuals &amp; Encumbrances</t>
  </si>
  <si>
    <t>2002 Balance</t>
  </si>
  <si>
    <t>LTD Budget</t>
  </si>
  <si>
    <t>70% Complete</t>
  </si>
  <si>
    <t>Budgeted Amount</t>
  </si>
  <si>
    <t>ExteriorTerra Cotta Repairs</t>
  </si>
  <si>
    <t>137T01</t>
  </si>
  <si>
    <t>Stairwell #4</t>
  </si>
  <si>
    <t>Subtotals For Courthouse</t>
  </si>
  <si>
    <t>Current Estimate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</si>
</sst>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&quot;$&quot;#,##0"/>
    <numFmt numFmtId="166" formatCode="#,##0;[Red]#,##0"/>
    <numFmt numFmtId="167" formatCode="&quot;$&quot;#,##0;[Red]&quot;$&quot;#,##0"/>
    <numFmt numFmtId="168" formatCode="&quot;$&quot;#,##0.0_);[Red]\(&quot;$&quot;#,##0.0\)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6" fontId="0" fillId="0" borderId="0" xfId="0" applyNumberFormat="1" applyAlignment="1">
      <alignment/>
    </xf>
    <xf numFmtId="8" fontId="1" fillId="0" borderId="0" xfId="0" applyNumberFormat="1" applyFont="1" applyAlignment="1">
      <alignment wrapText="1"/>
    </xf>
    <xf numFmtId="8" fontId="0" fillId="0" borderId="0" xfId="0" applyNumberFormat="1" applyAlignment="1">
      <alignment/>
    </xf>
    <xf numFmtId="8" fontId="0" fillId="0" borderId="0" xfId="0" applyNumberFormat="1" applyAlignment="1">
      <alignment wrapText="1"/>
    </xf>
    <xf numFmtId="8" fontId="0" fillId="2" borderId="0" xfId="0" applyNumberFormat="1" applyFill="1" applyAlignment="1">
      <alignment/>
    </xf>
    <xf numFmtId="8" fontId="0" fillId="2" borderId="0" xfId="0" applyNumberFormat="1" applyFill="1" applyAlignment="1">
      <alignment wrapText="1"/>
    </xf>
    <xf numFmtId="8" fontId="2" fillId="0" borderId="0" xfId="0" applyNumberFormat="1" applyFont="1" applyAlignment="1">
      <alignment horizontal="left"/>
    </xf>
    <xf numFmtId="8" fontId="2" fillId="0" borderId="0" xfId="0" applyNumberFormat="1" applyFont="1" applyAlignment="1">
      <alignment wrapText="1"/>
    </xf>
    <xf numFmtId="8" fontId="0" fillId="0" borderId="0" xfId="0" applyNumberFormat="1" applyAlignment="1">
      <alignment horizontal="right"/>
    </xf>
    <xf numFmtId="8" fontId="0" fillId="0" borderId="0" xfId="0" applyNumberFormat="1" applyAlignment="1">
      <alignment horizontal="left" wrapText="1"/>
    </xf>
    <xf numFmtId="8" fontId="2" fillId="0" borderId="0" xfId="0" applyNumberFormat="1" applyFont="1" applyAlignment="1">
      <alignment/>
    </xf>
    <xf numFmtId="8" fontId="2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/>
    </xf>
    <xf numFmtId="0" fontId="0" fillId="2" borderId="0" xfId="0" applyNumberFormat="1" applyFill="1" applyAlignment="1">
      <alignment/>
    </xf>
    <xf numFmtId="0" fontId="0" fillId="0" borderId="0" xfId="0" applyNumberFormat="1" applyAlignment="1">
      <alignment horizontal="right"/>
    </xf>
    <xf numFmtId="6" fontId="0" fillId="0" borderId="0" xfId="0" applyNumberFormat="1" applyAlignment="1">
      <alignment wrapText="1"/>
    </xf>
    <xf numFmtId="6" fontId="0" fillId="2" borderId="0" xfId="0" applyNumberFormat="1" applyFill="1" applyAlignment="1">
      <alignment horizontal="right" wrapText="1"/>
    </xf>
    <xf numFmtId="6" fontId="0" fillId="2" borderId="0" xfId="0" applyNumberFormat="1" applyFill="1" applyAlignment="1">
      <alignment horizontal="center" wrapText="1"/>
    </xf>
    <xf numFmtId="6" fontId="0" fillId="0" borderId="0" xfId="0" applyNumberFormat="1" applyFont="1" applyAlignment="1">
      <alignment wrapText="1"/>
    </xf>
    <xf numFmtId="6" fontId="2" fillId="0" borderId="0" xfId="0" applyNumberFormat="1" applyFont="1" applyAlignment="1">
      <alignment wrapText="1"/>
    </xf>
    <xf numFmtId="6" fontId="2" fillId="0" borderId="0" xfId="0" applyNumberFormat="1" applyFont="1" applyAlignment="1">
      <alignment/>
    </xf>
    <xf numFmtId="6" fontId="1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6" fontId="0" fillId="0" borderId="1" xfId="0" applyNumberFormat="1" applyBorder="1" applyAlignment="1">
      <alignment wrapText="1"/>
    </xf>
    <xf numFmtId="6" fontId="0" fillId="0" borderId="2" xfId="0" applyNumberFormat="1" applyBorder="1" applyAlignment="1">
      <alignment horizontal="right" wrapText="1"/>
    </xf>
    <xf numFmtId="8" fontId="0" fillId="0" borderId="2" xfId="0" applyNumberFormat="1" applyBorder="1" applyAlignment="1">
      <alignment horizontal="right" wrapText="1"/>
    </xf>
    <xf numFmtId="6" fontId="0" fillId="0" borderId="3" xfId="0" applyNumberFormat="1" applyBorder="1" applyAlignment="1">
      <alignment wrapText="1"/>
    </xf>
    <xf numFmtId="6" fontId="0" fillId="0" borderId="4" xfId="0" applyNumberFormat="1" applyBorder="1" applyAlignment="1">
      <alignment wrapText="1"/>
    </xf>
    <xf numFmtId="6" fontId="0" fillId="0" borderId="0" xfId="0" applyNumberFormat="1" applyBorder="1" applyAlignment="1">
      <alignment wrapText="1"/>
    </xf>
    <xf numFmtId="6" fontId="0" fillId="0" borderId="0" xfId="0" applyNumberFormat="1" applyBorder="1" applyAlignment="1">
      <alignment/>
    </xf>
    <xf numFmtId="6" fontId="0" fillId="0" borderId="5" xfId="0" applyNumberFormat="1" applyBorder="1" applyAlignment="1">
      <alignment wrapText="1"/>
    </xf>
    <xf numFmtId="6" fontId="0" fillId="0" borderId="5" xfId="0" applyNumberFormat="1" applyBorder="1" applyAlignment="1">
      <alignment horizontal="right" wrapText="1"/>
    </xf>
    <xf numFmtId="6" fontId="0" fillId="0" borderId="6" xfId="0" applyNumberFormat="1" applyBorder="1" applyAlignment="1">
      <alignment wrapText="1"/>
    </xf>
    <xf numFmtId="6" fontId="0" fillId="0" borderId="7" xfId="0" applyNumberFormat="1" applyBorder="1" applyAlignment="1">
      <alignment wrapText="1"/>
    </xf>
    <xf numFmtId="6" fontId="0" fillId="0" borderId="7" xfId="0" applyNumberFormat="1" applyBorder="1" applyAlignment="1">
      <alignment/>
    </xf>
    <xf numFmtId="6" fontId="0" fillId="0" borderId="8" xfId="0" applyNumberFormat="1" applyBorder="1" applyAlignment="1">
      <alignment wrapText="1"/>
    </xf>
    <xf numFmtId="7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8" fontId="0" fillId="0" borderId="0" xfId="0" applyNumberFormat="1" applyFont="1" applyAlignment="1">
      <alignment horizontal="right"/>
    </xf>
    <xf numFmtId="14" fontId="0" fillId="0" borderId="0" xfId="0" applyNumberFormat="1" applyAlignment="1">
      <alignment horizontal="left"/>
    </xf>
    <xf numFmtId="6" fontId="2" fillId="0" borderId="9" xfId="0" applyNumberFormat="1" applyFont="1" applyBorder="1" applyAlignment="1">
      <alignment wrapText="1"/>
    </xf>
    <xf numFmtId="6" fontId="3" fillId="3" borderId="9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tabSelected="1" zoomScale="75" zoomScaleNormal="75" workbookViewId="0" topLeftCell="A25">
      <selection activeCell="C35" sqref="C35"/>
    </sheetView>
  </sheetViews>
  <sheetFormatPr defaultColWidth="9.140625" defaultRowHeight="12.75"/>
  <cols>
    <col min="1" max="1" width="13.7109375" style="1" bestFit="1" customWidth="1"/>
    <col min="2" max="2" width="14.7109375" style="5" hidden="1" customWidth="1"/>
    <col min="3" max="3" width="45.28125" style="4" customWidth="1"/>
    <col min="4" max="4" width="16.7109375" style="17" customWidth="1"/>
    <col min="5" max="5" width="18.00390625" style="17" customWidth="1"/>
    <col min="6" max="6" width="13.421875" style="17" customWidth="1"/>
    <col min="7" max="10" width="14.140625" style="2" customWidth="1"/>
    <col min="11" max="11" width="14.57421875" style="2" hidden="1" customWidth="1"/>
    <col min="12" max="12" width="13.00390625" style="17" customWidth="1"/>
    <col min="13" max="13" width="14.7109375" style="17" customWidth="1"/>
    <col min="14" max="14" width="13.00390625" style="17" customWidth="1"/>
    <col min="15" max="15" width="15.140625" style="17" customWidth="1"/>
    <col min="16" max="16" width="13.00390625" style="2" customWidth="1"/>
    <col min="17" max="17" width="12.421875" style="2" customWidth="1"/>
    <col min="18" max="18" width="13.28125" style="2" bestFit="1" customWidth="1"/>
    <col min="19" max="22" width="9.140625" style="2" customWidth="1"/>
    <col min="23" max="16384" width="9.140625" style="4" customWidth="1"/>
  </cols>
  <sheetData>
    <row r="1" spans="1:2" ht="15.75">
      <c r="A1" s="14" t="s">
        <v>60</v>
      </c>
      <c r="B1" s="3"/>
    </row>
    <row r="2" ht="12.75">
      <c r="A2" s="43">
        <v>37395</v>
      </c>
    </row>
    <row r="3" ht="13.5" customHeight="1"/>
    <row r="4" spans="1:17" ht="41.25" customHeight="1">
      <c r="A4" s="15" t="s">
        <v>0</v>
      </c>
      <c r="B4" s="7" t="s">
        <v>15</v>
      </c>
      <c r="C4" s="6" t="s">
        <v>1</v>
      </c>
      <c r="D4" s="18" t="s">
        <v>2</v>
      </c>
      <c r="E4" s="18" t="s">
        <v>81</v>
      </c>
      <c r="F4" s="18" t="s">
        <v>78</v>
      </c>
      <c r="G4" s="18" t="s">
        <v>79</v>
      </c>
      <c r="H4" s="18" t="s">
        <v>80</v>
      </c>
      <c r="I4" s="18" t="s">
        <v>53</v>
      </c>
      <c r="J4" s="18" t="s">
        <v>52</v>
      </c>
      <c r="K4" s="19" t="s">
        <v>44</v>
      </c>
      <c r="L4" s="18" t="s">
        <v>41</v>
      </c>
      <c r="M4" s="18" t="s">
        <v>10</v>
      </c>
      <c r="N4" s="18" t="s">
        <v>24</v>
      </c>
      <c r="O4" s="18" t="s">
        <v>42</v>
      </c>
      <c r="P4" s="17" t="s">
        <v>65</v>
      </c>
      <c r="Q4" s="17" t="s">
        <v>71</v>
      </c>
    </row>
    <row r="6" ht="12.75">
      <c r="C6" s="8" t="s">
        <v>48</v>
      </c>
    </row>
    <row r="7" spans="1:17" ht="12.75">
      <c r="A7" s="40">
        <v>395134</v>
      </c>
      <c r="B7" s="9"/>
      <c r="C7" s="10" t="s">
        <v>51</v>
      </c>
      <c r="D7" s="17">
        <v>0</v>
      </c>
      <c r="E7" s="17">
        <v>217723</v>
      </c>
      <c r="F7" s="39">
        <v>7892</v>
      </c>
      <c r="G7" s="39">
        <v>-16848</v>
      </c>
      <c r="H7" s="2">
        <f>E7-G7-F7</f>
        <v>226679</v>
      </c>
      <c r="I7" s="2">
        <v>0</v>
      </c>
      <c r="J7" s="2">
        <f>H7-I7</f>
        <v>226679</v>
      </c>
      <c r="K7" s="2" t="s">
        <v>51</v>
      </c>
      <c r="M7" s="17">
        <f>0.75*L7</f>
        <v>0</v>
      </c>
      <c r="N7" s="20">
        <f>0.125*L7</f>
        <v>0</v>
      </c>
      <c r="O7" s="17">
        <v>0</v>
      </c>
      <c r="P7" s="2">
        <f>E7-J7-SUM(M7:O7)</f>
        <v>-8956</v>
      </c>
      <c r="Q7" s="2">
        <f>E7-J7</f>
        <v>-8956</v>
      </c>
    </row>
    <row r="8" spans="1:17" ht="12.75">
      <c r="A8" s="16" t="s">
        <v>5</v>
      </c>
      <c r="B8" s="11" t="s">
        <v>19</v>
      </c>
      <c r="C8" s="10" t="s">
        <v>6</v>
      </c>
      <c r="D8" s="17">
        <v>1498620</v>
      </c>
      <c r="E8" s="17">
        <f>1919273-20000</f>
        <v>1899273</v>
      </c>
      <c r="F8" s="39">
        <v>1844779.08</v>
      </c>
      <c r="G8" s="39">
        <f>27712+3643</f>
        <v>31355</v>
      </c>
      <c r="H8" s="2">
        <f aca="true" t="shared" si="0" ref="H8:H35">E8-G8-F8</f>
        <v>23138.919999999925</v>
      </c>
      <c r="I8" s="2">
        <v>0</v>
      </c>
      <c r="J8" s="2">
        <f aca="true" t="shared" si="1" ref="J8:J27">H8-I8</f>
        <v>23138.919999999925</v>
      </c>
      <c r="K8" s="2" t="s">
        <v>45</v>
      </c>
      <c r="M8" s="17">
        <f>0.75*L8</f>
        <v>0</v>
      </c>
      <c r="N8" s="20">
        <f>0.125*L8</f>
        <v>0</v>
      </c>
      <c r="O8" s="17">
        <f>1209978+41858</f>
        <v>1251836</v>
      </c>
      <c r="P8" s="2">
        <f aca="true" t="shared" si="2" ref="P8:P19">E8-J8-SUM(M8:O8)</f>
        <v>624298.0800000001</v>
      </c>
      <c r="Q8" s="2">
        <f aca="true" t="shared" si="3" ref="Q8:Q21">E8-J8</f>
        <v>1876134.08</v>
      </c>
    </row>
    <row r="9" spans="1:17" ht="12.75">
      <c r="A9" s="16" t="s">
        <v>8</v>
      </c>
      <c r="B9" s="11" t="s">
        <v>20</v>
      </c>
      <c r="C9" s="10" t="s">
        <v>7</v>
      </c>
      <c r="D9" s="17">
        <v>2553456</v>
      </c>
      <c r="E9" s="17">
        <v>2386408</v>
      </c>
      <c r="F9" s="39">
        <v>131956</v>
      </c>
      <c r="G9" s="39">
        <f>107480+3515</f>
        <v>110995</v>
      </c>
      <c r="H9" s="2">
        <f t="shared" si="0"/>
        <v>2143457</v>
      </c>
      <c r="I9" s="2">
        <f>2877707-600000-132927</f>
        <v>2144780</v>
      </c>
      <c r="J9" s="2">
        <f t="shared" si="1"/>
        <v>-1323</v>
      </c>
      <c r="K9" s="2" t="s">
        <v>46</v>
      </c>
      <c r="M9" s="17">
        <f>0.75*L9</f>
        <v>0</v>
      </c>
      <c r="N9" s="20">
        <f>0.125*L9</f>
        <v>0</v>
      </c>
      <c r="O9" s="17">
        <f>1493001</f>
        <v>1493001</v>
      </c>
      <c r="P9" s="2">
        <f t="shared" si="2"/>
        <v>894730</v>
      </c>
      <c r="Q9" s="2">
        <f t="shared" si="3"/>
        <v>2387731</v>
      </c>
    </row>
    <row r="10" spans="1:17" ht="14.25" customHeight="1">
      <c r="A10" s="16" t="s">
        <v>9</v>
      </c>
      <c r="B10" s="11" t="s">
        <v>23</v>
      </c>
      <c r="C10" s="10" t="s">
        <v>58</v>
      </c>
      <c r="D10" s="17">
        <v>1282295</v>
      </c>
      <c r="E10" s="17">
        <v>530000</v>
      </c>
      <c r="F10" s="39">
        <v>105953.53</v>
      </c>
      <c r="G10" s="39">
        <f>238287+632</f>
        <v>238919</v>
      </c>
      <c r="H10" s="2">
        <f t="shared" si="0"/>
        <v>185127.47</v>
      </c>
      <c r="I10" s="2">
        <v>100000</v>
      </c>
      <c r="J10" s="2">
        <f t="shared" si="1"/>
        <v>85127.47</v>
      </c>
      <c r="K10" s="2" t="s">
        <v>82</v>
      </c>
      <c r="M10" s="17">
        <f>0.75*L10</f>
        <v>0</v>
      </c>
      <c r="N10" s="20">
        <f>0.125*L10</f>
        <v>0</v>
      </c>
      <c r="O10" s="17">
        <v>1024390</v>
      </c>
      <c r="P10" s="2">
        <f t="shared" si="2"/>
        <v>-579517.47</v>
      </c>
      <c r="Q10" s="2">
        <f t="shared" si="3"/>
        <v>444872.53</v>
      </c>
    </row>
    <row r="11" spans="1:17" ht="12.75">
      <c r="A11" s="16" t="s">
        <v>11</v>
      </c>
      <c r="B11" s="5" t="s">
        <v>21</v>
      </c>
      <c r="C11" s="10" t="s">
        <v>12</v>
      </c>
      <c r="D11" s="17">
        <v>0</v>
      </c>
      <c r="E11" s="17">
        <v>20856</v>
      </c>
      <c r="F11" s="39">
        <v>20856</v>
      </c>
      <c r="G11" s="39">
        <v>0</v>
      </c>
      <c r="H11" s="2">
        <f t="shared" si="0"/>
        <v>0</v>
      </c>
      <c r="I11" s="2">
        <v>0</v>
      </c>
      <c r="J11" s="2">
        <f t="shared" si="1"/>
        <v>0</v>
      </c>
      <c r="K11" s="2" t="s">
        <v>45</v>
      </c>
      <c r="M11" s="17">
        <f aca="true" t="shared" si="4" ref="M11:M19">0.75*L11</f>
        <v>0</v>
      </c>
      <c r="N11" s="20">
        <f aca="true" t="shared" si="5" ref="N11:N19">0.125*L11</f>
        <v>0</v>
      </c>
      <c r="O11" s="17">
        <v>20856</v>
      </c>
      <c r="P11" s="2">
        <f t="shared" si="2"/>
        <v>0</v>
      </c>
      <c r="Q11" s="2">
        <f t="shared" si="3"/>
        <v>20856</v>
      </c>
    </row>
    <row r="12" spans="1:17" ht="12.75">
      <c r="A12" s="16" t="s">
        <v>13</v>
      </c>
      <c r="B12" s="5" t="s">
        <v>22</v>
      </c>
      <c r="C12" s="10" t="s">
        <v>14</v>
      </c>
      <c r="D12" s="17">
        <v>0</v>
      </c>
      <c r="E12" s="17">
        <v>92925</v>
      </c>
      <c r="F12" s="39">
        <v>92925</v>
      </c>
      <c r="G12" s="39">
        <v>0</v>
      </c>
      <c r="H12" s="2">
        <f t="shared" si="0"/>
        <v>0</v>
      </c>
      <c r="I12" s="2">
        <v>0</v>
      </c>
      <c r="J12" s="2">
        <f t="shared" si="1"/>
        <v>0</v>
      </c>
      <c r="K12" s="2" t="s">
        <v>45</v>
      </c>
      <c r="M12" s="17">
        <f t="shared" si="4"/>
        <v>0</v>
      </c>
      <c r="N12" s="20">
        <f t="shared" si="5"/>
        <v>0</v>
      </c>
      <c r="O12" s="17">
        <f>363151</f>
        <v>363151</v>
      </c>
      <c r="P12" s="2">
        <f t="shared" si="2"/>
        <v>-270226</v>
      </c>
      <c r="Q12" s="2">
        <f t="shared" si="3"/>
        <v>92925</v>
      </c>
    </row>
    <row r="13" spans="1:17" ht="12.75">
      <c r="A13" s="16" t="s">
        <v>28</v>
      </c>
      <c r="B13" s="11"/>
      <c r="C13" s="10" t="s">
        <v>35</v>
      </c>
      <c r="D13" s="17">
        <v>0</v>
      </c>
      <c r="E13" s="17">
        <v>56870</v>
      </c>
      <c r="F13" s="39">
        <v>56870</v>
      </c>
      <c r="G13" s="39">
        <v>0</v>
      </c>
      <c r="H13" s="2">
        <f t="shared" si="0"/>
        <v>0</v>
      </c>
      <c r="I13" s="2">
        <v>0</v>
      </c>
      <c r="J13" s="2">
        <f t="shared" si="1"/>
        <v>0</v>
      </c>
      <c r="K13" s="2" t="s">
        <v>45</v>
      </c>
      <c r="M13" s="17">
        <f t="shared" si="4"/>
        <v>0</v>
      </c>
      <c r="N13" s="20">
        <f t="shared" si="5"/>
        <v>0</v>
      </c>
      <c r="O13" s="17">
        <v>48693</v>
      </c>
      <c r="P13" s="2">
        <f t="shared" si="2"/>
        <v>8177</v>
      </c>
      <c r="Q13" s="2">
        <f t="shared" si="3"/>
        <v>56870</v>
      </c>
    </row>
    <row r="14" spans="1:17" ht="12.75">
      <c r="A14" s="16" t="s">
        <v>29</v>
      </c>
      <c r="B14" s="11"/>
      <c r="C14" s="10" t="s">
        <v>36</v>
      </c>
      <c r="D14" s="17">
        <v>0</v>
      </c>
      <c r="E14" s="17">
        <v>38730</v>
      </c>
      <c r="F14" s="39">
        <v>38730</v>
      </c>
      <c r="G14" s="39">
        <v>0</v>
      </c>
      <c r="H14" s="2">
        <f t="shared" si="0"/>
        <v>0</v>
      </c>
      <c r="I14" s="2">
        <v>0</v>
      </c>
      <c r="J14" s="2">
        <f t="shared" si="1"/>
        <v>0</v>
      </c>
      <c r="K14" s="2" t="s">
        <v>45</v>
      </c>
      <c r="M14" s="17">
        <f t="shared" si="4"/>
        <v>0</v>
      </c>
      <c r="N14" s="20">
        <f t="shared" si="5"/>
        <v>0</v>
      </c>
      <c r="O14" s="17">
        <v>38640</v>
      </c>
      <c r="P14" s="2">
        <f t="shared" si="2"/>
        <v>90</v>
      </c>
      <c r="Q14" s="2">
        <f t="shared" si="3"/>
        <v>38730</v>
      </c>
    </row>
    <row r="15" spans="1:17" ht="12.75">
      <c r="A15" s="16" t="s">
        <v>30</v>
      </c>
      <c r="B15" s="11"/>
      <c r="C15" s="10" t="s">
        <v>37</v>
      </c>
      <c r="D15" s="17">
        <v>0</v>
      </c>
      <c r="E15" s="17">
        <v>49</v>
      </c>
      <c r="F15" s="39">
        <v>48.95</v>
      </c>
      <c r="G15" s="39">
        <v>49</v>
      </c>
      <c r="H15" s="2">
        <f t="shared" si="0"/>
        <v>-48.95</v>
      </c>
      <c r="I15" s="2">
        <v>0</v>
      </c>
      <c r="J15" s="2">
        <f t="shared" si="1"/>
        <v>-48.95</v>
      </c>
      <c r="K15" s="2" t="s">
        <v>45</v>
      </c>
      <c r="M15" s="17">
        <f t="shared" si="4"/>
        <v>0</v>
      </c>
      <c r="N15" s="20">
        <f t="shared" si="5"/>
        <v>0</v>
      </c>
      <c r="O15" s="17">
        <v>49</v>
      </c>
      <c r="P15" s="2">
        <f t="shared" si="2"/>
        <v>48.95</v>
      </c>
      <c r="Q15" s="2">
        <f t="shared" si="3"/>
        <v>97.95</v>
      </c>
    </row>
    <row r="16" spans="1:17" ht="12.75">
      <c r="A16" s="16" t="s">
        <v>31</v>
      </c>
      <c r="C16" s="10" t="s">
        <v>38</v>
      </c>
      <c r="D16" s="17">
        <v>0</v>
      </c>
      <c r="E16" s="17">
        <v>14223</v>
      </c>
      <c r="F16" s="39">
        <v>14223</v>
      </c>
      <c r="G16" s="39">
        <v>0</v>
      </c>
      <c r="H16" s="2">
        <f t="shared" si="0"/>
        <v>0</v>
      </c>
      <c r="I16" s="2">
        <v>0</v>
      </c>
      <c r="J16" s="2">
        <f t="shared" si="1"/>
        <v>0</v>
      </c>
      <c r="K16" s="2" t="s">
        <v>45</v>
      </c>
      <c r="M16" s="17">
        <f t="shared" si="4"/>
        <v>0</v>
      </c>
      <c r="N16" s="20">
        <f t="shared" si="5"/>
        <v>0</v>
      </c>
      <c r="O16" s="17">
        <v>14064</v>
      </c>
      <c r="P16" s="2">
        <f t="shared" si="2"/>
        <v>159</v>
      </c>
      <c r="Q16" s="2">
        <f t="shared" si="3"/>
        <v>14223</v>
      </c>
    </row>
    <row r="17" spans="1:17" ht="12.75">
      <c r="A17" s="16" t="s">
        <v>32</v>
      </c>
      <c r="C17" s="10" t="s">
        <v>84</v>
      </c>
      <c r="D17" s="17">
        <v>0</v>
      </c>
      <c r="E17" s="17">
        <f>30814+20000</f>
        <v>50814</v>
      </c>
      <c r="F17" s="39">
        <v>30482</v>
      </c>
      <c r="G17" s="39">
        <f>9902+12384</f>
        <v>22286</v>
      </c>
      <c r="H17" s="2">
        <f t="shared" si="0"/>
        <v>-1954</v>
      </c>
      <c r="I17" s="2">
        <v>336635</v>
      </c>
      <c r="J17" s="2">
        <f t="shared" si="1"/>
        <v>-338589</v>
      </c>
      <c r="K17" s="2" t="s">
        <v>49</v>
      </c>
      <c r="M17" s="17">
        <f t="shared" si="4"/>
        <v>0</v>
      </c>
      <c r="N17" s="20">
        <f t="shared" si="5"/>
        <v>0</v>
      </c>
      <c r="O17" s="17">
        <v>460611</v>
      </c>
      <c r="P17" s="2">
        <f t="shared" si="2"/>
        <v>-71208</v>
      </c>
      <c r="Q17" s="2">
        <f t="shared" si="3"/>
        <v>389403</v>
      </c>
    </row>
    <row r="18" spans="1:17" ht="12.75">
      <c r="A18" s="16" t="s">
        <v>33</v>
      </c>
      <c r="C18" s="10" t="s">
        <v>39</v>
      </c>
      <c r="D18" s="17">
        <v>0</v>
      </c>
      <c r="E18" s="17">
        <v>20000</v>
      </c>
      <c r="F18" s="39">
        <v>4068.19</v>
      </c>
      <c r="G18" s="39">
        <v>0</v>
      </c>
      <c r="H18" s="2">
        <f t="shared" si="0"/>
        <v>15931.81</v>
      </c>
      <c r="I18" s="2">
        <v>0</v>
      </c>
      <c r="J18" s="2">
        <f t="shared" si="1"/>
        <v>15931.81</v>
      </c>
      <c r="K18" s="2" t="s">
        <v>50</v>
      </c>
      <c r="M18" s="17">
        <f t="shared" si="4"/>
        <v>0</v>
      </c>
      <c r="N18" s="20">
        <f t="shared" si="5"/>
        <v>0</v>
      </c>
      <c r="O18" s="17">
        <v>0</v>
      </c>
      <c r="P18" s="2">
        <f t="shared" si="2"/>
        <v>4068.1900000000005</v>
      </c>
      <c r="Q18" s="2">
        <f t="shared" si="3"/>
        <v>4068.1900000000005</v>
      </c>
    </row>
    <row r="19" spans="1:17" ht="12.75">
      <c r="A19" s="16" t="s">
        <v>34</v>
      </c>
      <c r="C19" s="10" t="s">
        <v>40</v>
      </c>
      <c r="D19" s="17">
        <v>0</v>
      </c>
      <c r="E19" s="17">
        <v>6500</v>
      </c>
      <c r="F19" s="39">
        <v>4266</v>
      </c>
      <c r="G19" s="38">
        <v>0</v>
      </c>
      <c r="H19" s="2">
        <f t="shared" si="0"/>
        <v>2234</v>
      </c>
      <c r="I19" s="2">
        <v>0</v>
      </c>
      <c r="J19" s="2">
        <f t="shared" si="1"/>
        <v>2234</v>
      </c>
      <c r="K19" s="2" t="s">
        <v>45</v>
      </c>
      <c r="M19" s="17">
        <f t="shared" si="4"/>
        <v>0</v>
      </c>
      <c r="N19" s="20">
        <f t="shared" si="5"/>
        <v>0</v>
      </c>
      <c r="O19" s="17">
        <v>4266</v>
      </c>
      <c r="P19" s="2">
        <f t="shared" si="2"/>
        <v>0</v>
      </c>
      <c r="Q19" s="2">
        <f t="shared" si="3"/>
        <v>4266</v>
      </c>
    </row>
    <row r="20" spans="1:14" ht="12.75">
      <c r="A20" s="16"/>
      <c r="C20" s="10"/>
      <c r="N20" s="20"/>
    </row>
    <row r="21" spans="1:17" ht="12.75">
      <c r="A21" s="16"/>
      <c r="C21" s="4" t="s">
        <v>25</v>
      </c>
      <c r="D21" s="17">
        <f aca="true" t="shared" si="6" ref="D21:J21">SUM(D7:D20)</f>
        <v>5334371</v>
      </c>
      <c r="E21" s="17">
        <f t="shared" si="6"/>
        <v>5334371</v>
      </c>
      <c r="F21" s="17">
        <f>SUM(F7:F19)</f>
        <v>2353049.7500000005</v>
      </c>
      <c r="G21" s="2">
        <f t="shared" si="6"/>
        <v>386756</v>
      </c>
      <c r="H21" s="2">
        <f t="shared" si="0"/>
        <v>2594565.2499999995</v>
      </c>
      <c r="I21" s="2">
        <f t="shared" si="6"/>
        <v>2581415</v>
      </c>
      <c r="J21" s="2">
        <f t="shared" si="6"/>
        <v>13150.249999999885</v>
      </c>
      <c r="L21" s="17">
        <v>2086200</v>
      </c>
      <c r="M21" s="17">
        <f>L21*0.75</f>
        <v>1564650</v>
      </c>
      <c r="N21" s="20">
        <f>0.125*L21</f>
        <v>260775</v>
      </c>
      <c r="O21" s="17">
        <f>SUM(O7:O19)</f>
        <v>4719557</v>
      </c>
      <c r="P21" s="22">
        <f>E21-J21-SUM(M21:O21)+O22</f>
        <v>735204.75</v>
      </c>
      <c r="Q21" s="2">
        <f t="shared" si="3"/>
        <v>5321220.75</v>
      </c>
    </row>
    <row r="22" spans="1:15" ht="12.75">
      <c r="A22" s="16"/>
      <c r="C22" s="10" t="s">
        <v>57</v>
      </c>
      <c r="M22" s="20"/>
      <c r="N22" s="20"/>
      <c r="O22" s="17">
        <f>(0.855*2440000)-127234</f>
        <v>1958966</v>
      </c>
    </row>
    <row r="23" spans="1:16" ht="12.75">
      <c r="A23" s="16"/>
      <c r="C23" s="10" t="s">
        <v>55</v>
      </c>
      <c r="M23" s="20"/>
      <c r="N23" s="20"/>
      <c r="O23" s="17">
        <f>O21-O22</f>
        <v>2760591</v>
      </c>
      <c r="P23" s="17"/>
    </row>
    <row r="24" spans="1:16" ht="12.75">
      <c r="A24" s="16"/>
      <c r="C24" s="10"/>
      <c r="N24" s="20"/>
      <c r="P24" s="20">
        <f>SUM(P7:P19)</f>
        <v>601663.75</v>
      </c>
    </row>
    <row r="26" spans="1:17" ht="12.75">
      <c r="A26" s="41">
        <v>395137</v>
      </c>
      <c r="B26" s="9" t="s">
        <v>17</v>
      </c>
      <c r="C26" s="12" t="s">
        <v>59</v>
      </c>
      <c r="D26" s="17">
        <v>3006230</v>
      </c>
      <c r="E26" s="17">
        <f>3216722-600000</f>
        <v>2616722</v>
      </c>
      <c r="F26" s="17">
        <v>515265</v>
      </c>
      <c r="G26" s="2">
        <f>63303+2170</f>
        <v>65473</v>
      </c>
      <c r="H26" s="2">
        <f t="shared" si="0"/>
        <v>2035984</v>
      </c>
      <c r="I26" s="2">
        <v>1800000</v>
      </c>
      <c r="J26" s="2">
        <f t="shared" si="1"/>
        <v>235984</v>
      </c>
      <c r="K26" s="2" t="s">
        <v>46</v>
      </c>
      <c r="L26" s="17">
        <v>353800</v>
      </c>
      <c r="M26" s="20">
        <f>0.75*L26</f>
        <v>265350</v>
      </c>
      <c r="N26" s="20">
        <f>0.125*L26</f>
        <v>44225</v>
      </c>
      <c r="O26" s="17">
        <f>724318+239445+190000</f>
        <v>1153763</v>
      </c>
      <c r="P26" s="22">
        <f>E26-J26-SUM(M26:O26)+O28</f>
        <v>1271200</v>
      </c>
      <c r="Q26" s="2">
        <f>E26-J26</f>
        <v>2380738</v>
      </c>
    </row>
    <row r="27" spans="1:16" ht="12.75">
      <c r="A27" s="40" t="s">
        <v>85</v>
      </c>
      <c r="B27" s="9"/>
      <c r="C27" s="42" t="s">
        <v>86</v>
      </c>
      <c r="E27" s="17">
        <v>600000</v>
      </c>
      <c r="F27" s="17">
        <v>0</v>
      </c>
      <c r="G27" s="2">
        <v>54135</v>
      </c>
      <c r="H27" s="2">
        <f t="shared" si="0"/>
        <v>545865</v>
      </c>
      <c r="I27" s="2">
        <v>545000</v>
      </c>
      <c r="J27" s="2">
        <f t="shared" si="1"/>
        <v>865</v>
      </c>
      <c r="M27" s="20"/>
      <c r="N27" s="20"/>
      <c r="P27" s="22"/>
    </row>
    <row r="28" spans="3:15" ht="12.75">
      <c r="C28" s="10" t="s">
        <v>57</v>
      </c>
      <c r="M28" s="20"/>
      <c r="N28" s="20"/>
      <c r="O28" s="17">
        <f>2440000*0.145</f>
        <v>353800</v>
      </c>
    </row>
    <row r="29" spans="3:15" ht="15.75" customHeight="1">
      <c r="C29" s="10" t="s">
        <v>56</v>
      </c>
      <c r="M29" s="20"/>
      <c r="N29" s="20"/>
      <c r="O29" s="17">
        <f>O26-O28</f>
        <v>799963</v>
      </c>
    </row>
    <row r="30" spans="3:14" ht="15.75" customHeight="1">
      <c r="C30" s="10"/>
      <c r="M30" s="20"/>
      <c r="N30" s="20"/>
    </row>
    <row r="31" spans="3:15" ht="15.75" customHeight="1">
      <c r="C31" s="8" t="s">
        <v>87</v>
      </c>
      <c r="D31" s="21">
        <f>D21+D26</f>
        <v>8340601</v>
      </c>
      <c r="E31" s="21">
        <f aca="true" t="shared" si="7" ref="E31:J31">E21+E26+E27</f>
        <v>8551093</v>
      </c>
      <c r="F31" s="21">
        <f t="shared" si="7"/>
        <v>2868314.7500000005</v>
      </c>
      <c r="G31" s="21">
        <f t="shared" si="7"/>
        <v>506364</v>
      </c>
      <c r="H31" s="21">
        <f t="shared" si="7"/>
        <v>5176414.25</v>
      </c>
      <c r="I31" s="21">
        <f t="shared" si="7"/>
        <v>4926415</v>
      </c>
      <c r="J31" s="21">
        <f t="shared" si="7"/>
        <v>249999.24999999988</v>
      </c>
      <c r="K31" s="22"/>
      <c r="L31" s="21"/>
      <c r="M31" s="21">
        <f>M21+M26+M27</f>
        <v>1830000</v>
      </c>
      <c r="N31" s="21">
        <f>N21+N26+N27</f>
        <v>305000</v>
      </c>
      <c r="O31" s="21">
        <f>O23+O29</f>
        <v>3560554</v>
      </c>
    </row>
    <row r="32" spans="3:14" ht="15.75" customHeight="1">
      <c r="C32" s="10"/>
      <c r="M32" s="20"/>
      <c r="N32" s="20"/>
    </row>
    <row r="33" spans="1:17" ht="15.75" customHeight="1">
      <c r="A33" s="41">
        <v>395136</v>
      </c>
      <c r="B33" s="13" t="s">
        <v>18</v>
      </c>
      <c r="C33" s="12" t="s">
        <v>26</v>
      </c>
      <c r="D33" s="17">
        <v>1261214</v>
      </c>
      <c r="E33" s="17">
        <v>1261214</v>
      </c>
      <c r="F33" s="39">
        <v>486289</v>
      </c>
      <c r="G33" s="2">
        <v>227889</v>
      </c>
      <c r="H33" s="2">
        <f t="shared" si="0"/>
        <v>547036</v>
      </c>
      <c r="I33" s="2">
        <v>150000</v>
      </c>
      <c r="J33" s="2">
        <f>H33-I33</f>
        <v>397036</v>
      </c>
      <c r="K33" s="2" t="s">
        <v>63</v>
      </c>
      <c r="L33" s="17">
        <v>723741</v>
      </c>
      <c r="M33" s="20">
        <f>0.75*L33</f>
        <v>542805.75</v>
      </c>
      <c r="N33" s="20">
        <f>0.125*L33</f>
        <v>90467.625</v>
      </c>
      <c r="O33" s="17">
        <v>0</v>
      </c>
      <c r="P33" s="22">
        <f>E33-J33-SUM(M33:O33)</f>
        <v>230904.625</v>
      </c>
      <c r="Q33" s="2">
        <f>E33-J33</f>
        <v>864178</v>
      </c>
    </row>
    <row r="34" spans="1:14" ht="12.75">
      <c r="A34" s="41"/>
      <c r="N34" s="20"/>
    </row>
    <row r="35" spans="1:17" ht="12.75" customHeight="1">
      <c r="A35" s="41">
        <v>395135</v>
      </c>
      <c r="B35" s="13" t="s">
        <v>16</v>
      </c>
      <c r="C35" s="12" t="s">
        <v>3</v>
      </c>
      <c r="D35" s="17">
        <v>702095</v>
      </c>
      <c r="E35" s="17">
        <v>702095</v>
      </c>
      <c r="F35" s="17">
        <v>38073</v>
      </c>
      <c r="G35" s="2">
        <f>72405+64055</f>
        <v>136460</v>
      </c>
      <c r="H35" s="2">
        <f t="shared" si="0"/>
        <v>527562</v>
      </c>
      <c r="I35" s="2">
        <v>527000</v>
      </c>
      <c r="J35" s="2">
        <f>H35-I35</f>
        <v>562</v>
      </c>
      <c r="K35" s="2" t="s">
        <v>47</v>
      </c>
      <c r="L35" s="17">
        <v>250000</v>
      </c>
      <c r="M35" s="17">
        <f>250000*0.75</f>
        <v>187500</v>
      </c>
      <c r="N35" s="20">
        <f>0.125*250000</f>
        <v>31250</v>
      </c>
      <c r="O35" s="17">
        <f>E35-250000</f>
        <v>452095</v>
      </c>
      <c r="P35" s="22">
        <f>E35-J35-SUM(M35:O35)</f>
        <v>30688</v>
      </c>
      <c r="Q35" s="2">
        <f>E35-J35</f>
        <v>701533</v>
      </c>
    </row>
    <row r="37" ht="13.5" thickBot="1">
      <c r="N37" s="20"/>
    </row>
    <row r="38" spans="3:18" ht="13.5" thickBot="1">
      <c r="C38" s="12" t="s">
        <v>54</v>
      </c>
      <c r="D38" s="44">
        <f>SUM(D31:D35)</f>
        <v>10303910</v>
      </c>
      <c r="E38" s="44">
        <f aca="true" t="shared" si="8" ref="E38:J38">SUM(E31:E35)</f>
        <v>10514402</v>
      </c>
      <c r="F38" s="44">
        <f t="shared" si="8"/>
        <v>3392676.7500000005</v>
      </c>
      <c r="G38" s="44">
        <f t="shared" si="8"/>
        <v>870713</v>
      </c>
      <c r="H38" s="44">
        <f t="shared" si="8"/>
        <v>6251012.25</v>
      </c>
      <c r="I38" s="44">
        <f t="shared" si="8"/>
        <v>5603415</v>
      </c>
      <c r="J38" s="44">
        <f t="shared" si="8"/>
        <v>647597.2499999999</v>
      </c>
      <c r="K38" s="22"/>
      <c r="L38" s="21">
        <f>L21+L26+L33+L35</f>
        <v>3413741</v>
      </c>
      <c r="M38" s="21">
        <f>M21+M26+M33+M35</f>
        <v>2560305.75</v>
      </c>
      <c r="N38" s="21">
        <f>N21+N26+N33+N35</f>
        <v>426717.625</v>
      </c>
      <c r="O38" s="21">
        <f>O23+O29+O35</f>
        <v>4012649</v>
      </c>
      <c r="P38" s="22">
        <f>E38-J38-SUM(M38:O38)</f>
        <v>2867132.375</v>
      </c>
      <c r="Q38" s="2">
        <f>SUM(Q21:Q35)</f>
        <v>9267669.75</v>
      </c>
      <c r="R38" s="2">
        <f>SUM(P22:P35)</f>
        <v>2134456.375</v>
      </c>
    </row>
    <row r="41" spans="3:5" ht="13.5" thickBot="1">
      <c r="C41" s="5"/>
      <c r="D41" s="17" t="s">
        <v>83</v>
      </c>
      <c r="E41" s="17" t="s">
        <v>88</v>
      </c>
    </row>
    <row r="42" spans="3:7" ht="21" thickBot="1">
      <c r="C42" s="3" t="s">
        <v>43</v>
      </c>
      <c r="D42" s="23">
        <f>E38-M38-N38-O38</f>
        <v>3514729.625</v>
      </c>
      <c r="E42" s="45">
        <f>F38+G38+I38-M38-N38-O38</f>
        <v>2867132.375</v>
      </c>
      <c r="F42" s="23"/>
      <c r="G42" s="21"/>
    </row>
    <row r="43" ht="12.75">
      <c r="C43" s="5"/>
    </row>
    <row r="44" ht="12.75">
      <c r="C44" s="5"/>
    </row>
    <row r="46" spans="3:16" ht="38.25">
      <c r="C46" s="11" t="s">
        <v>62</v>
      </c>
      <c r="G46" s="2">
        <v>258687</v>
      </c>
      <c r="H46" s="2">
        <f>E46-G46</f>
        <v>-258687</v>
      </c>
      <c r="I46" s="2">
        <v>0</v>
      </c>
      <c r="J46" s="2">
        <f>H46-I46</f>
        <v>-258687</v>
      </c>
      <c r="K46" s="2" t="s">
        <v>45</v>
      </c>
      <c r="M46" s="17">
        <f>0.75*L46</f>
        <v>0</v>
      </c>
      <c r="N46" s="20">
        <f>0.125*L46</f>
        <v>0</v>
      </c>
      <c r="O46" s="17">
        <v>127234</v>
      </c>
      <c r="P46" s="22">
        <f>E46-J46-SUM(M46:O46)</f>
        <v>131453</v>
      </c>
    </row>
    <row r="49" ht="25.5">
      <c r="C49" s="5" t="s">
        <v>61</v>
      </c>
    </row>
    <row r="50" ht="13.5" thickBot="1"/>
    <row r="51" spans="1:22" s="5" customFormat="1" ht="25.5">
      <c r="A51" s="24"/>
      <c r="D51" s="25"/>
      <c r="E51" s="26" t="s">
        <v>73</v>
      </c>
      <c r="F51" s="26"/>
      <c r="G51" s="26" t="s">
        <v>4</v>
      </c>
      <c r="H51" s="26" t="s">
        <v>74</v>
      </c>
      <c r="I51" s="26" t="s">
        <v>75</v>
      </c>
      <c r="J51" s="26" t="s">
        <v>76</v>
      </c>
      <c r="K51" s="27" t="s">
        <v>77</v>
      </c>
      <c r="L51" s="26"/>
      <c r="M51" s="28"/>
      <c r="N51" s="17"/>
      <c r="O51" s="17"/>
      <c r="P51" s="17"/>
      <c r="Q51" s="17"/>
      <c r="R51" s="17"/>
      <c r="S51" s="17"/>
      <c r="T51" s="17"/>
      <c r="U51" s="17"/>
      <c r="V51" s="17"/>
    </row>
    <row r="52" spans="4:13" ht="12.75">
      <c r="D52" s="29"/>
      <c r="E52" s="30"/>
      <c r="F52" s="30"/>
      <c r="G52" s="31"/>
      <c r="H52" s="31"/>
      <c r="I52" s="31"/>
      <c r="J52" s="31"/>
      <c r="K52" s="31"/>
      <c r="L52" s="31"/>
      <c r="M52" s="32"/>
    </row>
    <row r="53" spans="4:13" ht="12.75">
      <c r="D53" s="29" t="s">
        <v>27</v>
      </c>
      <c r="E53" s="30">
        <f>E38</f>
        <v>10514402</v>
      </c>
      <c r="F53" s="30"/>
      <c r="G53" s="31">
        <f>E21</f>
        <v>5334371</v>
      </c>
      <c r="H53" s="31">
        <f>E26+E27</f>
        <v>3216722</v>
      </c>
      <c r="I53" s="31">
        <f>E33</f>
        <v>1261214</v>
      </c>
      <c r="J53" s="31">
        <f>E35</f>
        <v>702095</v>
      </c>
      <c r="K53" s="31">
        <v>0</v>
      </c>
      <c r="L53" s="31"/>
      <c r="M53" s="32"/>
    </row>
    <row r="54" spans="4:13" ht="25.5">
      <c r="D54" s="29" t="s">
        <v>66</v>
      </c>
      <c r="E54" s="30">
        <f>J38</f>
        <v>647597.2499999999</v>
      </c>
      <c r="F54" s="30"/>
      <c r="G54" s="31">
        <f>J21</f>
        <v>13150.249999999885</v>
      </c>
      <c r="H54" s="31">
        <f>J26</f>
        <v>235984</v>
      </c>
      <c r="I54" s="31">
        <f>J33</f>
        <v>397036</v>
      </c>
      <c r="J54" s="31">
        <f>J35</f>
        <v>562</v>
      </c>
      <c r="K54" s="31">
        <f>J46</f>
        <v>-258687</v>
      </c>
      <c r="L54" s="31"/>
      <c r="M54" s="32"/>
    </row>
    <row r="55" spans="4:13" ht="25.5">
      <c r="D55" s="29" t="s">
        <v>67</v>
      </c>
      <c r="E55" s="30">
        <f aca="true" t="shared" si="9" ref="E55:K55">E53-E54</f>
        <v>9866804.75</v>
      </c>
      <c r="F55" s="30"/>
      <c r="G55" s="30">
        <f t="shared" si="9"/>
        <v>5321220.75</v>
      </c>
      <c r="H55" s="30">
        <f t="shared" si="9"/>
        <v>2980738</v>
      </c>
      <c r="I55" s="30">
        <f t="shared" si="9"/>
        <v>864178</v>
      </c>
      <c r="J55" s="30">
        <f t="shared" si="9"/>
        <v>701533</v>
      </c>
      <c r="K55" s="30">
        <f t="shared" si="9"/>
        <v>258687</v>
      </c>
      <c r="L55" s="31"/>
      <c r="M55" s="32"/>
    </row>
    <row r="56" spans="4:13" ht="12.75">
      <c r="D56" s="29"/>
      <c r="E56" s="30"/>
      <c r="F56" s="30"/>
      <c r="G56" s="31"/>
      <c r="H56" s="31"/>
      <c r="I56" s="31"/>
      <c r="J56" s="31"/>
      <c r="K56" s="31"/>
      <c r="L56" s="31"/>
      <c r="M56" s="32"/>
    </row>
    <row r="57" spans="4:13" ht="12.75">
      <c r="D57" s="29" t="s">
        <v>68</v>
      </c>
      <c r="E57" s="30">
        <f>M38</f>
        <v>2560305.75</v>
      </c>
      <c r="F57" s="30"/>
      <c r="G57" s="31">
        <f>M21</f>
        <v>1564650</v>
      </c>
      <c r="H57" s="31">
        <f>M26</f>
        <v>265350</v>
      </c>
      <c r="I57" s="31">
        <f>M33</f>
        <v>542805.75</v>
      </c>
      <c r="J57" s="31">
        <f>M35</f>
        <v>187500</v>
      </c>
      <c r="K57" s="31"/>
      <c r="L57" s="31"/>
      <c r="M57" s="32"/>
    </row>
    <row r="58" spans="4:13" ht="12.75">
      <c r="D58" s="29" t="s">
        <v>69</v>
      </c>
      <c r="E58" s="30">
        <f>N38</f>
        <v>426717.625</v>
      </c>
      <c r="F58" s="30"/>
      <c r="G58" s="31">
        <f>N21</f>
        <v>260775</v>
      </c>
      <c r="H58" s="31">
        <f>N26</f>
        <v>44225</v>
      </c>
      <c r="I58" s="31">
        <f>N33</f>
        <v>90467.625</v>
      </c>
      <c r="J58" s="31">
        <f>N35</f>
        <v>31250</v>
      </c>
      <c r="K58" s="31"/>
      <c r="L58" s="31"/>
      <c r="M58" s="32"/>
    </row>
    <row r="59" spans="4:13" ht="12.75">
      <c r="D59" s="29" t="s">
        <v>70</v>
      </c>
      <c r="E59" s="30">
        <f>O38</f>
        <v>4012649</v>
      </c>
      <c r="F59" s="30"/>
      <c r="G59" s="31">
        <f>O21</f>
        <v>4719557</v>
      </c>
      <c r="H59" s="31">
        <f>O26</f>
        <v>1153763</v>
      </c>
      <c r="I59" s="31">
        <f>O33</f>
        <v>0</v>
      </c>
      <c r="J59" s="31">
        <f>O35+250000</f>
        <v>702095</v>
      </c>
      <c r="K59" s="31">
        <f>O46</f>
        <v>127234</v>
      </c>
      <c r="L59" s="31"/>
      <c r="M59" s="32"/>
    </row>
    <row r="60" spans="4:13" ht="25.5">
      <c r="D60" s="29" t="s">
        <v>72</v>
      </c>
      <c r="E60" s="30"/>
      <c r="F60" s="30"/>
      <c r="G60" s="31">
        <f>-O22</f>
        <v>-1958966</v>
      </c>
      <c r="H60" s="31">
        <f>-O28</f>
        <v>-353800</v>
      </c>
      <c r="I60" s="31"/>
      <c r="J60" s="31">
        <v>-250000</v>
      </c>
      <c r="K60" s="31"/>
      <c r="L60" s="31"/>
      <c r="M60" s="33"/>
    </row>
    <row r="61" spans="4:13" ht="12.75">
      <c r="D61" s="29"/>
      <c r="E61" s="30"/>
      <c r="F61" s="30"/>
      <c r="G61" s="31"/>
      <c r="H61" s="31"/>
      <c r="I61" s="31"/>
      <c r="J61" s="31"/>
      <c r="K61" s="31"/>
      <c r="L61" s="31"/>
      <c r="M61" s="32"/>
    </row>
    <row r="62" spans="4:13" ht="13.5" thickBot="1">
      <c r="D62" s="34" t="s">
        <v>64</v>
      </c>
      <c r="E62" s="35">
        <f aca="true" t="shared" si="10" ref="E62:K62">E55-SUM(E57:E60)</f>
        <v>2867132.375</v>
      </c>
      <c r="F62" s="35"/>
      <c r="G62" s="35">
        <f t="shared" si="10"/>
        <v>735204.75</v>
      </c>
      <c r="H62" s="35">
        <f t="shared" si="10"/>
        <v>1871200</v>
      </c>
      <c r="I62" s="35">
        <f t="shared" si="10"/>
        <v>230904.625</v>
      </c>
      <c r="J62" s="35">
        <f t="shared" si="10"/>
        <v>30688</v>
      </c>
      <c r="K62" s="35">
        <f t="shared" si="10"/>
        <v>131453</v>
      </c>
      <c r="L62" s="36"/>
      <c r="M62" s="37"/>
    </row>
  </sheetData>
  <printOptions/>
  <pageMargins left="0.75" right="0.75" top="1" bottom="1" header="0.5" footer="0.5"/>
  <pageSetup fitToHeight="1" fitToWidth="1" horizontalDpi="600" verticalDpi="600" orientation="landscape" scale="56" r:id="rId1"/>
  <headerFooter alignWithMargins="0">
    <oddFooter>&amp;R&amp;8W:\2003 Budget\CX Debt Plan\Seismic Projects\Summary FEMA-Insurance Reimbursements v3.xls (All Projects Summary)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DCFM</dc:creator>
  <cp:keywords/>
  <dc:description/>
  <cp:lastModifiedBy>Polly St. John</cp:lastModifiedBy>
  <cp:lastPrinted>2002-09-04T18:47:45Z</cp:lastPrinted>
  <dcterms:created xsi:type="dcterms:W3CDTF">2001-05-24T14:23:08Z</dcterms:created>
  <dcterms:modified xsi:type="dcterms:W3CDTF">2002-06-27T15:39:26Z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-1797446412</vt:i4>
  </property>
  <property fmtid="{D5CDD505-2E9C-101B-9397-08002B2CF9AE}" pid="3" name="_EmailSubject">
    <vt:lpwstr>Earthquake Projects</vt:lpwstr>
  </property>
  <property fmtid="{D5CDD505-2E9C-101B-9397-08002B2CF9AE}" pid="4" name="_AuthorEmail">
    <vt:lpwstr>David.Layton@METROKC.GOV</vt:lpwstr>
  </property>
  <property fmtid="{D5CDD505-2E9C-101B-9397-08002B2CF9AE}" pid="5" name="_AuthorEmailDisplayName">
    <vt:lpwstr>Layton, David</vt:lpwstr>
  </property>
</Properties>
</file>