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40" yWindow="7320" windowWidth="10605" windowHeight="7320" activeTab="0"/>
  </bookViews>
  <sheets>
    <sheet name="Attachment I" sheetId="1" r:id="rId1"/>
    <sheet name="Reserve Appendix" sheetId="2" r:id="rId2"/>
  </sheets>
  <externalReferences>
    <externalReference r:id="rId5"/>
  </externalReferences>
  <definedNames>
    <definedName name="_xlnm.Print_Area" localSheetId="0">'Attachment I'!$A$1:$G$145</definedName>
    <definedName name="_xlnm.Print_Area" localSheetId="1">'Reserve Appendix'!$A$1:$G$52</definedName>
    <definedName name="_xlnm.Print_Titles" localSheetId="0">'Attachment I'!$1:$4</definedName>
    <definedName name="_xlnm.Print_Titles" localSheetId="1">'Reserve Appendix'!$1:$1</definedName>
    <definedName name="Query34">#REF!</definedName>
    <definedName name="Query80">#REF!</definedName>
    <definedName name="wrn.CX." localSheetId="0" hidden="1">{"cxtransfer",#N/A,FALSE,"ReorgRevisted"}</definedName>
    <definedName name="wrn.CX." localSheetId="1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localSheetId="1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localSheetId="1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localSheetId="1" hidden="1">{"Whole",#N/A,FALSE,"ReorgRevisted"}</definedName>
    <definedName name="wrn.WholeReport." hidden="1">{"Whole",#N/A,FALSE,"ReorgRevisted"}</definedName>
  </definedNames>
  <calcPr fullCalcOnLoad="1"/>
</workbook>
</file>

<file path=xl/comments1.xml><?xml version="1.0" encoding="utf-8"?>
<comments xmlns="http://schemas.openxmlformats.org/spreadsheetml/2006/main">
  <authors>
    <author>Aaron Rubardt</author>
  </authors>
  <commentList>
    <comment ref="C20" authorId="0">
      <text>
        <r>
          <rPr>
            <b/>
            <sz val="8"/>
            <rFont val="Tahoma"/>
            <family val="0"/>
          </rPr>
          <t>Adjusted to meet FP</t>
        </r>
        <r>
          <rPr>
            <sz val="8"/>
            <rFont val="Tahoma"/>
            <family val="0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0"/>
          </rPr>
          <t xml:space="preserve">Adjusted for rounding
to meet FP
</t>
        </r>
        <r>
          <rPr>
            <sz val="8"/>
            <rFont val="Tahoma"/>
            <family val="0"/>
          </rPr>
          <t xml:space="preserve">
</t>
        </r>
      </text>
    </comment>
    <comment ref="D30" authorId="0">
      <text>
        <r>
          <rPr>
            <b/>
            <sz val="8"/>
            <rFont val="Tahoma"/>
            <family val="0"/>
          </rPr>
          <t xml:space="preserve">Adjusted for rounding
to meet FP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<sst xmlns="http://schemas.openxmlformats.org/spreadsheetml/2006/main" count="173" uniqueCount="148">
  <si>
    <t>2008 Adopted</t>
  </si>
  <si>
    <t>BEGINNING FUND BALANCE</t>
  </si>
  <si>
    <t>REVENUES</t>
  </si>
  <si>
    <t>Property Taxes</t>
  </si>
  <si>
    <t>Federal Grants</t>
  </si>
  <si>
    <t>State Grants</t>
  </si>
  <si>
    <t>Intergovernmental Payments</t>
  </si>
  <si>
    <t>Charges for Services</t>
  </si>
  <si>
    <t>Interest Earning/Miscellaneous Revenue</t>
  </si>
  <si>
    <t>Other Financing Sources</t>
  </si>
  <si>
    <t>Transfer form General Fund</t>
  </si>
  <si>
    <t>EMS REVENUE TOTAL</t>
  </si>
  <si>
    <t>EXPENDITURES</t>
  </si>
  <si>
    <t>Advanced Life Support Services</t>
  </si>
  <si>
    <t>Bellevue Fire Department</t>
  </si>
  <si>
    <t>King County Medic One</t>
  </si>
  <si>
    <t>Redmond Fire Department</t>
  </si>
  <si>
    <t>Shoreline Fire Department</t>
  </si>
  <si>
    <t>Skykomish/King County Fire District 50</t>
  </si>
  <si>
    <t>Vashon Fire Department</t>
  </si>
  <si>
    <t>New/Units Unallocated</t>
  </si>
  <si>
    <t>Outlying Area Service Levels</t>
  </si>
  <si>
    <t>Black Diamond Fire Department</t>
  </si>
  <si>
    <t>Bothell Fire Department</t>
  </si>
  <si>
    <t>Duvall Fire Department</t>
  </si>
  <si>
    <t>Eastside Fire and Rescue</t>
  </si>
  <si>
    <t>Enumclaw Fire Department</t>
  </si>
  <si>
    <t>Kent Fire and Life Safety</t>
  </si>
  <si>
    <t>King County Fire District 2</t>
  </si>
  <si>
    <t>King County Fire District 20</t>
  </si>
  <si>
    <t>King County Fire District 25</t>
  </si>
  <si>
    <t>King County Fire District 27</t>
  </si>
  <si>
    <t>King County Fire District 40</t>
  </si>
  <si>
    <t>King County Fire District 44</t>
  </si>
  <si>
    <t>King County Fire District 47</t>
  </si>
  <si>
    <t>King County Fire District 49 (51)</t>
  </si>
  <si>
    <t>King County Fire District 50</t>
  </si>
  <si>
    <t>Kirkland Fire Department</t>
  </si>
  <si>
    <t>Maple Valley Fire and Life Safety</t>
  </si>
  <si>
    <t>Mercer Island Fire Department</t>
  </si>
  <si>
    <t>Milton Fire Department</t>
  </si>
  <si>
    <t>North Highline Fire Department</t>
  </si>
  <si>
    <t>Northshore Fire Department</t>
  </si>
  <si>
    <t>Pierce County Fire District 27</t>
  </si>
  <si>
    <t>Renton Fire Department</t>
  </si>
  <si>
    <t>SeaTac Fire Department</t>
  </si>
  <si>
    <t>Snoqualmie Fire Department</t>
  </si>
  <si>
    <t>South King Fire and Rescue</t>
  </si>
  <si>
    <t>Tukwila Fire Department</t>
  </si>
  <si>
    <t>Woodinville Fire and Life Safety District</t>
  </si>
  <si>
    <t>Regional Services</t>
  </si>
  <si>
    <t>Strategic Initiatives</t>
  </si>
  <si>
    <t>Encumbrance Carryover</t>
  </si>
  <si>
    <t>ALS Safety and Wage Contingency</t>
  </si>
  <si>
    <t>EMS 2002-2007 Reserves</t>
  </si>
  <si>
    <t>Disaster Response Contingency</t>
  </si>
  <si>
    <t>Prior Disaster Response Underexpenditure</t>
  </si>
  <si>
    <t>King County Auditor's Office</t>
  </si>
  <si>
    <t>EMS Budget Contingency</t>
  </si>
  <si>
    <t>EMS EXPENDITURE TOTAL</t>
  </si>
  <si>
    <t>Other Fund Transactions</t>
  </si>
  <si>
    <t>* Taxes in Financial Plan (not included in Budget)</t>
  </si>
  <si>
    <t>Total Other Fund Transactions</t>
  </si>
  <si>
    <t>ENDING FUND BALANCE</t>
  </si>
  <si>
    <t>RESERVES AND DESIGNATIONS</t>
  </si>
  <si>
    <t>Encumbrances</t>
  </si>
  <si>
    <t>Reappropriation</t>
  </si>
  <si>
    <t>Designations</t>
  </si>
  <si>
    <t>Prepayment</t>
  </si>
  <si>
    <t>Reserves for Unanticipated Inflation</t>
  </si>
  <si>
    <t>Pharmaceuticals/Medical Equipment</t>
  </si>
  <si>
    <t>Call Volume/Utilization Reserve</t>
  </si>
  <si>
    <t>Reserves</t>
  </si>
  <si>
    <t>Risk Abatement</t>
  </si>
  <si>
    <t>Millage Reduction</t>
  </si>
  <si>
    <t>TOTAL RESERVES AND DESIGNATIONS</t>
  </si>
  <si>
    <t>ENDING UNDESIGNATED FUND BALANCE</t>
  </si>
  <si>
    <t>Fund Balance as % of Revenue</t>
  </si>
  <si>
    <t>N/A</t>
  </si>
  <si>
    <t>EXCESS OVER/UNDER 6% MINIMUM</t>
  </si>
  <si>
    <t>Financial Plan Notes:</t>
  </si>
  <si>
    <t>Inflation Assumptions for 2008 Budget, 2008 Revisions, 2009, 2010, and 2011</t>
  </si>
  <si>
    <t>2008 Budget</t>
  </si>
  <si>
    <t>2008 Adjusted</t>
  </si>
  <si>
    <t>CPI</t>
  </si>
  <si>
    <t>Employee Benefits</t>
  </si>
  <si>
    <t>PERS 2</t>
  </si>
  <si>
    <t>LEOFF 2</t>
  </si>
  <si>
    <t>FICA Base</t>
  </si>
  <si>
    <t>Vehicle Costs</t>
  </si>
  <si>
    <t>Pharmacy Drug Inflation</t>
  </si>
  <si>
    <t>APPENDIX TO EMERGENCY MEDICAL SERVICES LEVY FINANCIAL PLAN</t>
  </si>
  <si>
    <t>Inflation Assumptions and Reserve/Contingency Threshold</t>
  </si>
  <si>
    <t>ALS Salary and Wage Contingency</t>
  </si>
  <si>
    <t>Linked to preceding annual change in CPI-U for Seattle-Tacoma-Everett</t>
  </si>
  <si>
    <t>Source: US Department of Labor. Bureau of Labor Statistics, Series ID: CUURA423SA0</t>
  </si>
  <si>
    <t>2007 Actual / 2008-2012 Assumption</t>
  </si>
  <si>
    <t>2006 Actual / 2007-2012 Assumption</t>
  </si>
  <si>
    <t>Annual Contingency Threshold</t>
  </si>
  <si>
    <t>Cumulative Contingency Threshold</t>
  </si>
  <si>
    <t>Diesel Cost Stabilization Reserve</t>
  </si>
  <si>
    <t>Linked to preceding annual change in average national diesel fuel price per gallon, adjusted for state fuel taxes</t>
  </si>
  <si>
    <t>Source: US Department of Energy Energy Information Administration, On-Highway Diesel Fuel Price Series</t>
  </si>
  <si>
    <t>Annual Reserve Threshold</t>
  </si>
  <si>
    <t>Cumulative Reserve Threshold</t>
  </si>
  <si>
    <t>Pharmaceuticals/Medical Equipment Reserve</t>
  </si>
  <si>
    <t>Linked to preceding annual change in Producer Price Index for Pharmacy/Drug Prices</t>
  </si>
  <si>
    <t>Source: US Department of Labor. Bureau of Labor Statistics, Series ID: PCU446110446110</t>
  </si>
  <si>
    <t>Linked to annual ALS total call volume</t>
  </si>
  <si>
    <t>Source: ALS program data</t>
  </si>
  <si>
    <t>2006 Estimate / 2007-2012 Assumption</t>
  </si>
  <si>
    <t>Inflator Detail:  Vehicle Costs</t>
  </si>
  <si>
    <t>Linked to preceding annual change in overall transport adjusted by average fuel cost</t>
  </si>
  <si>
    <t>Source:  Department of Labor. Bureau of Labor and Statistics, Series ID: CUUR0000SAT</t>
  </si>
  <si>
    <r>
      <t xml:space="preserve">2007 Actual </t>
    </r>
    <r>
      <rPr>
        <b/>
        <vertAlign val="superscript"/>
        <sz val="12"/>
        <rFont val="Times New Roman"/>
        <family val="1"/>
      </rPr>
      <t>1</t>
    </r>
  </si>
  <si>
    <r>
      <t xml:space="preserve">2008 Estimated </t>
    </r>
    <r>
      <rPr>
        <b/>
        <vertAlign val="superscript"/>
        <sz val="12"/>
        <rFont val="Times New Roman"/>
        <family val="1"/>
      </rPr>
      <t>2</t>
    </r>
  </si>
  <si>
    <r>
      <t xml:space="preserve">2009 Proposed </t>
    </r>
    <r>
      <rPr>
        <b/>
        <vertAlign val="superscript"/>
        <sz val="12"/>
        <rFont val="Times New Roman"/>
        <family val="1"/>
      </rPr>
      <t>3</t>
    </r>
  </si>
  <si>
    <r>
      <t xml:space="preserve">2010 Projected </t>
    </r>
    <r>
      <rPr>
        <b/>
        <vertAlign val="superscript"/>
        <sz val="12"/>
        <rFont val="Times New Roman"/>
        <family val="1"/>
      </rPr>
      <t>3</t>
    </r>
  </si>
  <si>
    <r>
      <t xml:space="preserve">2011 Projected </t>
    </r>
    <r>
      <rPr>
        <b/>
        <vertAlign val="superscript"/>
        <sz val="12"/>
        <rFont val="Times New Roman"/>
        <family val="1"/>
      </rPr>
      <t>3</t>
    </r>
  </si>
  <si>
    <r>
      <t xml:space="preserve">* Impaired Investments </t>
    </r>
    <r>
      <rPr>
        <vertAlign val="superscript"/>
        <sz val="12"/>
        <rFont val="Times New Roman"/>
        <family val="1"/>
      </rPr>
      <t>4</t>
    </r>
  </si>
  <si>
    <r>
      <t>Diesel Cost Stabilization Reserve</t>
    </r>
    <r>
      <rPr>
        <vertAlign val="superscript"/>
        <sz val="12"/>
        <rFont val="Times New Roman"/>
        <family val="1"/>
      </rPr>
      <t xml:space="preserve"> 5</t>
    </r>
  </si>
  <si>
    <r>
      <t>Chassis Obsolescence</t>
    </r>
    <r>
      <rPr>
        <vertAlign val="superscript"/>
        <sz val="12"/>
        <rFont val="Times New Roman"/>
        <family val="1"/>
      </rPr>
      <t xml:space="preserve"> 6</t>
    </r>
  </si>
  <si>
    <r>
      <t xml:space="preserve">1  </t>
    </r>
    <r>
      <rPr>
        <sz val="12"/>
        <rFont val="Times New Roman"/>
        <family val="1"/>
      </rPr>
      <t xml:space="preserve"> 2007 Actuals are from the 2007 CAFR.</t>
    </r>
  </si>
  <si>
    <r>
      <t xml:space="preserve">3  </t>
    </r>
    <r>
      <rPr>
        <sz val="12"/>
        <rFont val="Times New Roman"/>
        <family val="1"/>
      </rPr>
      <t xml:space="preserve"> 2009 Proposed and 2010 and 2011 Projected are based on inflation assumptions outlined below.</t>
    </r>
  </si>
  <si>
    <r>
      <t xml:space="preserve">4   </t>
    </r>
    <r>
      <rPr>
        <sz val="12"/>
        <rFont val="Times New Roman"/>
        <family val="1"/>
      </rPr>
      <t xml:space="preserve">This adjustment reflects an unrealized loss for impaired investments. </t>
    </r>
  </si>
  <si>
    <r>
      <t xml:space="preserve">5   </t>
    </r>
    <r>
      <rPr>
        <sz val="12"/>
        <rFont val="Times New Roman"/>
        <family val="1"/>
      </rPr>
      <t>Diesel Cost Stabilization reserve will be used in 2009 budget to cover higher than anticipated costs in 2008 and 2009.  Diesel costs increased by 53.54% in 2008 and will remain above the cumulative threshold of $2.87 in 2009.  Unused 2008 ALS Salary &amp; Wage Contingency used to replenish 2009 Diesel Reserves.</t>
    </r>
  </si>
  <si>
    <r>
      <t xml:space="preserve">6  </t>
    </r>
    <r>
      <rPr>
        <sz val="12"/>
        <rFont val="Times New Roman"/>
        <family val="1"/>
      </rPr>
      <t xml:space="preserve"> The Chassis Obsolescence reserve will be used in 2009 since vehicle costs are anticipated to increase by 14.9% in 2008 compared to the original projection of 5.8%.</t>
    </r>
  </si>
  <si>
    <t>Shoreline -- Fire District 4</t>
  </si>
  <si>
    <t>Valley Regional Fire Authority</t>
  </si>
  <si>
    <t>Use of Diesel Reserve</t>
  </si>
  <si>
    <t>Use of Vehicle/Chassis Obsolescence Reserve</t>
  </si>
  <si>
    <r>
      <t xml:space="preserve">2   </t>
    </r>
    <r>
      <rPr>
        <sz val="12"/>
        <rFont val="Times New Roman"/>
        <family val="1"/>
      </rPr>
      <t>2008 Estimated is based on 2nd Quarter Report (May 2008 expense forecast)</t>
    </r>
  </si>
  <si>
    <r>
      <t>Estimated Underexpenditures</t>
    </r>
    <r>
      <rPr>
        <b/>
        <vertAlign val="superscript"/>
        <sz val="12"/>
        <rFont val="Times New Roman"/>
        <family val="1"/>
      </rPr>
      <t>7</t>
    </r>
  </si>
  <si>
    <r>
      <t xml:space="preserve">7  </t>
    </r>
    <r>
      <rPr>
        <sz val="12"/>
        <rFont val="Times New Roman"/>
        <family val="1"/>
      </rPr>
      <t xml:space="preserve"> Estimated underexpenditure assumes prior year disaster contingency is not used.</t>
    </r>
  </si>
  <si>
    <t>Provider Loans</t>
  </si>
  <si>
    <t>Provider/Program Balances</t>
  </si>
  <si>
    <t>Agency detail added 11/18/08</t>
  </si>
  <si>
    <r>
      <t>Basic Life Support Services</t>
    </r>
    <r>
      <rPr>
        <vertAlign val="superscript"/>
        <sz val="12"/>
        <rFont val="Times New Roman"/>
        <family val="1"/>
      </rPr>
      <t>8</t>
    </r>
  </si>
  <si>
    <t xml:space="preserve">       - Kent:  a small area moved to Valley in 2009</t>
  </si>
  <si>
    <t xml:space="preserve">       - KCFD25 allocated separately beginning in 2009 (previously in Renton allocation)</t>
  </si>
  <si>
    <t xml:space="preserve">       - KCFD40 (37% moved to Renton in 2009; service to remainder of area by Renton)</t>
  </si>
  <si>
    <t xml:space="preserve">       - KCFD44 incorporated FD17 (previously part of Black Diamond); Lea Hill moved to Valley </t>
  </si>
  <si>
    <t xml:space="preserve">       - Auburn and Pacific became part of the new Valley Regional Fire Authority in 2007</t>
  </si>
  <si>
    <t>Designations previous levy (2002-2007 reserves)</t>
  </si>
  <si>
    <r>
      <t xml:space="preserve">8  </t>
    </r>
    <r>
      <rPr>
        <sz val="12"/>
        <rFont val="Times New Roman"/>
        <family val="1"/>
      </rPr>
      <t xml:space="preserve"> Changes in BLS agencies affecting allocations:</t>
    </r>
  </si>
  <si>
    <t xml:space="preserve">       - Black Diamond allocation previously included FD17; in 2009 FD17 moved to FD44</t>
  </si>
  <si>
    <t xml:space="preserve">       - Renton incorporated 1/3 FD40; FD25 allocated separately</t>
  </si>
  <si>
    <t>Emergency Medical Services Financial Plan, dated 11-20-08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</si>
</sst>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%\ "/>
    <numFmt numFmtId="166" formatCode="&quot;$&quot;#,##0.00"/>
    <numFmt numFmtId="167" formatCode="0_);[Red]\(0\)"/>
    <numFmt numFmtId="168" formatCode="#,##0.000000_);\(#,##0.000000\)"/>
    <numFmt numFmtId="169" formatCode="#,##0.00000000_);\(#,##0.00000000\)"/>
    <numFmt numFmtId="170" formatCode="0.0%"/>
    <numFmt numFmtId="171" formatCode="0.000%"/>
    <numFmt numFmtId="172" formatCode="0.0000%"/>
    <numFmt numFmtId="173" formatCode="0.00000%"/>
    <numFmt numFmtId="174" formatCode="_(* #,##0.000_);_(* \(#,##0.000\);_(* &quot;-&quot;??_);_(@_)"/>
    <numFmt numFmtId="175" formatCode="_(* #,##0.0000_);_(* \(#,##0.0000\);_(* &quot;-&quot;??_);_(@_)"/>
    <numFmt numFmtId="176" formatCode="_(* #,##0.0_);_(* \(#,##0.0\);_(* &quot;-&quot;??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i/>
      <sz val="11"/>
      <color indexed="23"/>
      <name val="Calibri"/>
      <family val="2"/>
    </font>
    <font>
      <u val="single"/>
      <sz val="11.25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.25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2"/>
      <name val="Arial MT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i/>
      <sz val="12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7" fillId="0" borderId="0">
      <alignment/>
      <protection/>
    </xf>
    <xf numFmtId="37" fontId="18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37" fontId="24" fillId="0" borderId="0" xfId="61" applyFont="1" applyFill="1" applyBorder="1" applyAlignment="1" quotePrefix="1">
      <alignment horizontal="center"/>
      <protection/>
    </xf>
    <xf numFmtId="37" fontId="24" fillId="0" borderId="10" xfId="61" applyFont="1" applyFill="1" applyBorder="1" applyAlignment="1">
      <alignment horizontal="left" wrapText="1"/>
      <protection/>
    </xf>
    <xf numFmtId="38" fontId="24" fillId="0" borderId="10" xfId="61" applyNumberFormat="1" applyFont="1" applyFill="1" applyBorder="1" applyAlignment="1">
      <alignment horizontal="centerContinuous" wrapText="1"/>
      <protection/>
    </xf>
    <xf numFmtId="0" fontId="18" fillId="0" borderId="0" xfId="0" applyFont="1" applyFill="1" applyAlignment="1">
      <alignment/>
    </xf>
    <xf numFmtId="37" fontId="18" fillId="0" borderId="10" xfId="42" applyNumberFormat="1" applyFont="1" applyFill="1" applyBorder="1" applyAlignment="1">
      <alignment/>
    </xf>
    <xf numFmtId="37" fontId="18" fillId="0" borderId="10" xfId="42" applyNumberFormat="1" applyFont="1" applyFill="1" applyBorder="1" applyAlignment="1">
      <alignment/>
    </xf>
    <xf numFmtId="37" fontId="18" fillId="0" borderId="11" xfId="42" applyNumberFormat="1" applyFont="1" applyFill="1" applyBorder="1" applyAlignment="1">
      <alignment/>
    </xf>
    <xf numFmtId="37" fontId="18" fillId="0" borderId="11" xfId="42" applyNumberFormat="1" applyFont="1" applyFill="1" applyBorder="1" applyAlignment="1">
      <alignment/>
    </xf>
    <xf numFmtId="37" fontId="18" fillId="0" borderId="11" xfId="0" applyNumberFormat="1" applyFont="1" applyFill="1" applyBorder="1" applyAlignment="1">
      <alignment/>
    </xf>
    <xf numFmtId="37" fontId="18" fillId="0" borderId="11" xfId="0" applyNumberFormat="1" applyFont="1" applyFill="1" applyBorder="1" applyAlignment="1" quotePrefix="1">
      <alignment/>
    </xf>
    <xf numFmtId="37" fontId="18" fillId="0" borderId="12" xfId="42" applyNumberFormat="1" applyFont="1" applyFill="1" applyBorder="1" applyAlignment="1">
      <alignment/>
    </xf>
    <xf numFmtId="37" fontId="18" fillId="0" borderId="13" xfId="42" applyNumberFormat="1" applyFont="1" applyFill="1" applyBorder="1" applyAlignment="1">
      <alignment/>
    </xf>
    <xf numFmtId="37" fontId="18" fillId="0" borderId="0" xfId="42" applyNumberFormat="1" applyFont="1" applyFill="1" applyBorder="1" applyAlignment="1">
      <alignment/>
    </xf>
    <xf numFmtId="37" fontId="18" fillId="0" borderId="11" xfId="42" applyNumberFormat="1" applyFont="1" applyFill="1" applyBorder="1" applyAlignment="1" quotePrefix="1">
      <alignment/>
    </xf>
    <xf numFmtId="37" fontId="18" fillId="0" borderId="13" xfId="61" applyFont="1" applyFill="1" applyBorder="1" applyAlignment="1">
      <alignment horizontal="left"/>
      <protection/>
    </xf>
    <xf numFmtId="37" fontId="18" fillId="0" borderId="14" xfId="0" applyNumberFormat="1" applyFont="1" applyFill="1" applyBorder="1" applyAlignment="1">
      <alignment/>
    </xf>
    <xf numFmtId="37" fontId="18" fillId="0" borderId="12" xfId="0" applyNumberFormat="1" applyFont="1" applyFill="1" applyBorder="1" applyAlignment="1">
      <alignment/>
    </xf>
    <xf numFmtId="37" fontId="24" fillId="0" borderId="13" xfId="61" applyFont="1" applyFill="1" applyBorder="1" applyAlignment="1">
      <alignment horizontal="left"/>
      <protection/>
    </xf>
    <xf numFmtId="37" fontId="18" fillId="0" borderId="13" xfId="61" applyFont="1" applyFill="1" applyBorder="1" applyAlignment="1">
      <alignment horizontal="left" indent="1"/>
      <protection/>
    </xf>
    <xf numFmtId="37" fontId="18" fillId="0" borderId="15" xfId="42" applyNumberFormat="1" applyFont="1" applyFill="1" applyBorder="1" applyAlignment="1">
      <alignment/>
    </xf>
    <xf numFmtId="37" fontId="18" fillId="0" borderId="15" xfId="42" applyNumberFormat="1" applyFont="1" applyFill="1" applyBorder="1" applyAlignment="1">
      <alignment/>
    </xf>
    <xf numFmtId="37" fontId="18" fillId="0" borderId="16" xfId="42" applyNumberFormat="1" applyFont="1" applyFill="1" applyBorder="1" applyAlignment="1">
      <alignment/>
    </xf>
    <xf numFmtId="37" fontId="18" fillId="0" borderId="17" xfId="42" applyNumberFormat="1" applyFont="1" applyFill="1" applyBorder="1" applyAlignment="1">
      <alignment/>
    </xf>
    <xf numFmtId="37" fontId="24" fillId="0" borderId="10" xfId="42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9" fontId="18" fillId="0" borderId="0" xfId="65" applyFont="1" applyFill="1" applyAlignment="1">
      <alignment/>
    </xf>
    <xf numFmtId="37" fontId="18" fillId="0" borderId="0" xfId="61" applyNumberFormat="1" applyFont="1" applyFill="1">
      <alignment/>
      <protection/>
    </xf>
    <xf numFmtId="37" fontId="18" fillId="0" borderId="0" xfId="0" applyNumberFormat="1" applyFont="1" applyFill="1" applyAlignment="1">
      <alignment/>
    </xf>
    <xf numFmtId="37" fontId="18" fillId="0" borderId="0" xfId="61" applyNumberFormat="1" applyFont="1" applyFill="1" applyBorder="1">
      <alignment/>
      <protection/>
    </xf>
    <xf numFmtId="38" fontId="18" fillId="0" borderId="0" xfId="0" applyNumberFormat="1" applyFont="1" applyFill="1" applyAlignment="1">
      <alignment horizontal="centerContinuous" wrapText="1"/>
    </xf>
    <xf numFmtId="38" fontId="18" fillId="0" borderId="0" xfId="61" applyNumberFormat="1" applyFont="1" applyFill="1" applyBorder="1" applyAlignment="1">
      <alignment horizontal="centerContinuous" wrapText="1"/>
      <protection/>
    </xf>
    <xf numFmtId="38" fontId="18" fillId="0" borderId="0" xfId="61" applyNumberFormat="1" applyFont="1" applyFill="1" applyBorder="1">
      <alignment/>
      <protection/>
    </xf>
    <xf numFmtId="38" fontId="18" fillId="0" borderId="0" xfId="61" applyNumberFormat="1" applyFont="1" applyFill="1">
      <alignment/>
      <protection/>
    </xf>
    <xf numFmtId="38" fontId="18" fillId="0" borderId="0" xfId="0" applyNumberFormat="1" applyFont="1" applyFill="1" applyAlignment="1">
      <alignment/>
    </xf>
    <xf numFmtId="38" fontId="18" fillId="0" borderId="0" xfId="0" applyNumberFormat="1" applyFont="1" applyAlignment="1">
      <alignment horizontal="right"/>
    </xf>
    <xf numFmtId="38" fontId="18" fillId="0" borderId="0" xfId="0" applyNumberFormat="1" applyFont="1" applyFill="1" applyAlignment="1">
      <alignment horizontal="center"/>
    </xf>
    <xf numFmtId="167" fontId="24" fillId="0" borderId="12" xfId="0" applyNumberFormat="1" applyFont="1" applyFill="1" applyBorder="1" applyAlignment="1">
      <alignment horizontal="center"/>
    </xf>
    <xf numFmtId="10" fontId="18" fillId="0" borderId="11" xfId="65" applyNumberFormat="1" applyFont="1" applyFill="1" applyBorder="1" applyAlignment="1">
      <alignment horizontal="center"/>
    </xf>
    <xf numFmtId="10" fontId="18" fillId="0" borderId="14" xfId="65" applyNumberFormat="1" applyFont="1" applyFill="1" applyBorder="1" applyAlignment="1">
      <alignment horizontal="center"/>
    </xf>
    <xf numFmtId="38" fontId="24" fillId="0" borderId="18" xfId="62" applyNumberFormat="1" applyFont="1" applyFill="1" applyBorder="1" applyAlignment="1">
      <alignment horizontal="left"/>
      <protection/>
    </xf>
    <xf numFmtId="0" fontId="18" fillId="0" borderId="18" xfId="0" applyFont="1" applyBorder="1" applyAlignment="1">
      <alignment/>
    </xf>
    <xf numFmtId="0" fontId="18" fillId="0" borderId="0" xfId="0" applyFont="1" applyAlignment="1">
      <alignment horizontal="left" indent="1"/>
    </xf>
    <xf numFmtId="38" fontId="18" fillId="20" borderId="0" xfId="62" applyNumberFormat="1" applyFont="1" applyFill="1" applyBorder="1" applyAlignment="1">
      <alignment horizontal="left" indent="1"/>
      <protection/>
    </xf>
    <xf numFmtId="165" fontId="18" fillId="20" borderId="0" xfId="0" applyNumberFormat="1" applyFont="1" applyFill="1" applyAlignment="1">
      <alignment/>
    </xf>
    <xf numFmtId="10" fontId="18" fillId="20" borderId="0" xfId="0" applyNumberFormat="1" applyFont="1" applyFill="1" applyAlignment="1">
      <alignment/>
    </xf>
    <xf numFmtId="165" fontId="18" fillId="0" borderId="0" xfId="0" applyNumberFormat="1" applyFont="1" applyAlignment="1">
      <alignment/>
    </xf>
    <xf numFmtId="165" fontId="18" fillId="0" borderId="0" xfId="65" applyNumberFormat="1" applyFont="1" applyAlignment="1">
      <alignment/>
    </xf>
    <xf numFmtId="0" fontId="18" fillId="0" borderId="0" xfId="0" applyFont="1" applyAlignment="1">
      <alignment horizontal="right"/>
    </xf>
    <xf numFmtId="38" fontId="18" fillId="0" borderId="0" xfId="62" applyNumberFormat="1" applyFont="1" applyFill="1" applyBorder="1" applyAlignment="1">
      <alignment horizontal="left"/>
      <protection/>
    </xf>
    <xf numFmtId="8" fontId="18" fillId="20" borderId="0" xfId="0" applyNumberFormat="1" applyFont="1" applyFill="1" applyAlignment="1">
      <alignment/>
    </xf>
    <xf numFmtId="166" fontId="18" fillId="0" borderId="0" xfId="0" applyNumberFormat="1" applyFont="1" applyAlignment="1">
      <alignment/>
    </xf>
    <xf numFmtId="9" fontId="18" fillId="20" borderId="0" xfId="0" applyNumberFormat="1" applyFont="1" applyFill="1" applyAlignment="1">
      <alignment/>
    </xf>
    <xf numFmtId="10" fontId="18" fillId="20" borderId="0" xfId="65" applyNumberFormat="1" applyFont="1" applyFill="1" applyAlignment="1">
      <alignment/>
    </xf>
    <xf numFmtId="38" fontId="24" fillId="0" borderId="18" xfId="62" applyNumberFormat="1" applyFont="1" applyFill="1" applyBorder="1">
      <alignment/>
      <protection/>
    </xf>
    <xf numFmtId="38" fontId="18" fillId="0" borderId="0" xfId="62" applyNumberFormat="1" applyFont="1" applyFill="1" applyBorder="1" applyAlignment="1">
      <alignment horizontal="left" indent="1"/>
      <protection/>
    </xf>
    <xf numFmtId="3" fontId="18" fillId="0" borderId="0" xfId="0" applyNumberFormat="1" applyFont="1" applyAlignment="1">
      <alignment/>
    </xf>
    <xf numFmtId="164" fontId="18" fillId="0" borderId="0" xfId="42" applyNumberFormat="1" applyFont="1" applyAlignment="1">
      <alignment/>
    </xf>
    <xf numFmtId="164" fontId="18" fillId="0" borderId="0" xfId="0" applyNumberFormat="1" applyFont="1" applyAlignment="1">
      <alignment/>
    </xf>
    <xf numFmtId="37" fontId="18" fillId="0" borderId="19" xfId="42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18" fillId="0" borderId="13" xfId="0" applyFont="1" applyFill="1" applyBorder="1" applyAlignment="1">
      <alignment horizontal="left" indent="1"/>
    </xf>
    <xf numFmtId="37" fontId="18" fillId="0" borderId="11" xfId="61" applyFont="1" applyFill="1" applyBorder="1" applyAlignment="1">
      <alignment horizontal="left"/>
      <protection/>
    </xf>
    <xf numFmtId="37" fontId="24" fillId="0" borderId="10" xfId="61" applyFont="1" applyFill="1" applyBorder="1" applyAlignment="1">
      <alignment horizontal="left"/>
      <protection/>
    </xf>
    <xf numFmtId="37" fontId="24" fillId="0" borderId="11" xfId="61" applyFont="1" applyFill="1" applyBorder="1" applyAlignment="1">
      <alignment horizontal="left"/>
      <protection/>
    </xf>
    <xf numFmtId="37" fontId="18" fillId="0" borderId="20" xfId="42" applyNumberFormat="1" applyFont="1" applyFill="1" applyBorder="1" applyAlignment="1">
      <alignment/>
    </xf>
    <xf numFmtId="37" fontId="18" fillId="0" borderId="16" xfId="42" applyNumberFormat="1" applyFont="1" applyFill="1" applyBorder="1" applyAlignment="1">
      <alignment/>
    </xf>
    <xf numFmtId="37" fontId="18" fillId="0" borderId="11" xfId="61" applyFont="1" applyFill="1" applyBorder="1" applyAlignment="1">
      <alignment horizontal="left" indent="1"/>
      <protection/>
    </xf>
    <xf numFmtId="37" fontId="24" fillId="0" borderId="19" xfId="61" applyFont="1" applyFill="1" applyBorder="1" applyAlignment="1">
      <alignment horizontal="left"/>
      <protection/>
    </xf>
    <xf numFmtId="37" fontId="18" fillId="0" borderId="17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/>
    </xf>
    <xf numFmtId="37" fontId="24" fillId="0" borderId="21" xfId="61" applyFont="1" applyFill="1" applyBorder="1" applyAlignment="1" quotePrefix="1">
      <alignment horizontal="left"/>
      <protection/>
    </xf>
    <xf numFmtId="37" fontId="24" fillId="0" borderId="21" xfId="61" applyFont="1" applyFill="1" applyBorder="1" applyAlignment="1">
      <alignment horizontal="left"/>
      <protection/>
    </xf>
    <xf numFmtId="37" fontId="18" fillId="0" borderId="13" xfId="0" applyNumberFormat="1" applyFont="1" applyFill="1" applyBorder="1" applyAlignment="1">
      <alignment/>
    </xf>
    <xf numFmtId="37" fontId="24" fillId="0" borderId="13" xfId="61" applyFont="1" applyFill="1" applyBorder="1" applyAlignment="1" quotePrefix="1">
      <alignment horizontal="left"/>
      <protection/>
    </xf>
    <xf numFmtId="37" fontId="18" fillId="0" borderId="10" xfId="0" applyNumberFormat="1" applyFont="1" applyFill="1" applyBorder="1" applyAlignment="1">
      <alignment/>
    </xf>
    <xf numFmtId="37" fontId="18" fillId="0" borderId="22" xfId="0" applyNumberFormat="1" applyFont="1" applyFill="1" applyBorder="1" applyAlignment="1">
      <alignment/>
    </xf>
    <xf numFmtId="10" fontId="24" fillId="0" borderId="10" xfId="65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37" fontId="18" fillId="0" borderId="0" xfId="61" applyFont="1" applyFill="1">
      <alignment/>
      <protection/>
    </xf>
    <xf numFmtId="37" fontId="24" fillId="0" borderId="0" xfId="61" applyFont="1" applyFill="1" applyAlignment="1">
      <alignment horizontal="left"/>
      <protection/>
    </xf>
    <xf numFmtId="37" fontId="26" fillId="0" borderId="0" xfId="61" applyFont="1" applyFill="1" applyBorder="1" applyAlignment="1" quotePrefix="1">
      <alignment horizontal="left"/>
      <protection/>
    </xf>
    <xf numFmtId="37" fontId="26" fillId="0" borderId="0" xfId="61" applyFont="1" applyFill="1" applyBorder="1" applyAlignment="1" quotePrefix="1">
      <alignment horizontal="left" vertical="top"/>
      <protection/>
    </xf>
    <xf numFmtId="0" fontId="26" fillId="0" borderId="0" xfId="0" applyFont="1" applyFill="1" applyAlignment="1">
      <alignment/>
    </xf>
    <xf numFmtId="38" fontId="18" fillId="0" borderId="0" xfId="61" applyNumberFormat="1" applyFont="1" applyFill="1" applyBorder="1" applyAlignment="1">
      <alignment horizontal="left" vertical="top"/>
      <protection/>
    </xf>
    <xf numFmtId="0" fontId="26" fillId="0" borderId="0" xfId="0" applyFont="1" applyFill="1" applyAlignment="1">
      <alignment horizontal="left" wrapText="1" readingOrder="1"/>
    </xf>
    <xf numFmtId="38" fontId="18" fillId="0" borderId="0" xfId="0" applyNumberFormat="1" applyFont="1" applyFill="1" applyAlignment="1">
      <alignment horizontal="right"/>
    </xf>
    <xf numFmtId="0" fontId="24" fillId="0" borderId="23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38" fontId="18" fillId="0" borderId="0" xfId="0" applyNumberFormat="1" applyFont="1" applyFill="1" applyBorder="1" applyAlignment="1">
      <alignment horizontal="right"/>
    </xf>
    <xf numFmtId="0" fontId="18" fillId="0" borderId="21" xfId="0" applyFont="1" applyFill="1" applyBorder="1" applyAlignment="1">
      <alignment/>
    </xf>
    <xf numFmtId="38" fontId="18" fillId="0" borderId="22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right"/>
    </xf>
    <xf numFmtId="37" fontId="29" fillId="0" borderId="0" xfId="61" applyFont="1" applyFill="1" applyBorder="1" applyAlignment="1">
      <alignment horizontal="right"/>
      <protection/>
    </xf>
    <xf numFmtId="164" fontId="18" fillId="20" borderId="0" xfId="42" applyNumberFormat="1" applyFont="1" applyFill="1" applyAlignment="1">
      <alignment/>
    </xf>
    <xf numFmtId="37" fontId="30" fillId="0" borderId="0" xfId="61" applyFont="1" applyBorder="1" applyAlignment="1">
      <alignment horizontal="left"/>
      <protection/>
    </xf>
    <xf numFmtId="37" fontId="30" fillId="0" borderId="0" xfId="61" applyFont="1" applyBorder="1" applyAlignment="1" quotePrefix="1">
      <alignment horizontal="left"/>
      <protection/>
    </xf>
    <xf numFmtId="37" fontId="24" fillId="0" borderId="0" xfId="61" applyFont="1" applyFill="1" applyBorder="1" applyAlignment="1">
      <alignment horizontal="center"/>
      <protection/>
    </xf>
    <xf numFmtId="37" fontId="24" fillId="0" borderId="0" xfId="61" applyFont="1" applyFill="1" applyBorder="1" applyAlignment="1" quotePrefix="1">
      <alignment horizontal="center"/>
      <protection/>
    </xf>
    <xf numFmtId="37" fontId="30" fillId="0" borderId="0" xfId="61" applyFont="1" applyFill="1" applyBorder="1" applyAlignment="1">
      <alignment horizontal="left"/>
      <protection/>
    </xf>
    <xf numFmtId="37" fontId="24" fillId="0" borderId="0" xfId="61" applyFont="1" applyFill="1" applyBorder="1" applyAlignment="1" quotePrefix="1">
      <alignment horizontal="left"/>
      <protection/>
    </xf>
    <xf numFmtId="0" fontId="26" fillId="0" borderId="0" xfId="0" applyFont="1" applyFill="1" applyAlignment="1">
      <alignment horizontal="left" wrapText="1" readingOrder="1"/>
    </xf>
    <xf numFmtId="0" fontId="24" fillId="0" borderId="0" xfId="0" applyFont="1" applyBorder="1" applyAlignment="1">
      <alignment horizontal="center"/>
    </xf>
    <xf numFmtId="37" fontId="30" fillId="0" borderId="0" xfId="61" applyFont="1" applyBorder="1" applyAlignment="1">
      <alignment horizontal="left"/>
      <protection/>
    </xf>
    <xf numFmtId="37" fontId="30" fillId="0" borderId="0" xfId="61" applyFont="1" applyBorder="1" applyAlignment="1" quotePrefix="1">
      <alignment horizontal="left"/>
      <protection/>
    </xf>
  </cellXfs>
  <cellStyles count="7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_AIRPLAN.XLS" xfId="61"/>
    <cellStyle name="Normal_Detail" xfId="62"/>
    <cellStyle name="Note" xfId="63"/>
    <cellStyle name="Output" xfId="64"/>
    <cellStyle name="Percent" xfId="65"/>
    <cellStyle name="Percent 2" xfId="66"/>
    <cellStyle name="Percent 3" xfId="67"/>
    <cellStyle name="Title" xfId="68"/>
    <cellStyle name="Total" xfId="69"/>
    <cellStyle name="Warning Tex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rubardt\Public%20Health\EMS\2009%20Budget\Budget%20Analysis\2009%20EMS%20Financial%20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S 2B Summary"/>
      <sheetName val="Inflators"/>
      <sheetName val="Expanded Financial Plan"/>
      <sheetName val="Fin Plan"/>
      <sheetName val="Revenues"/>
      <sheetName val="ALS Detail"/>
      <sheetName val="ALS Alloc"/>
      <sheetName val="for ALS providers"/>
      <sheetName val="BLS"/>
      <sheetName val="BLS Allocation"/>
      <sheetName val="RSS-Detail"/>
      <sheetName val="SI"/>
      <sheetName val="Veh Transition"/>
      <sheetName val="Diesel Reserve"/>
      <sheetName val="Chassis Reserve"/>
      <sheetName val="New Unit-Startup Breakdown"/>
      <sheetName val="Equip Alloc"/>
    </sheetNames>
    <sheetDataSet>
      <sheetData sheetId="7">
        <row r="23">
          <cell r="D23">
            <v>7937332</v>
          </cell>
          <cell r="E23">
            <v>8322516</v>
          </cell>
        </row>
        <row r="36">
          <cell r="D36">
            <v>15118860</v>
          </cell>
          <cell r="E36">
            <v>15843769</v>
          </cell>
        </row>
        <row r="39">
          <cell r="B39">
            <v>5345017</v>
          </cell>
        </row>
        <row r="49">
          <cell r="D49">
            <v>5952999</v>
          </cell>
          <cell r="E49">
            <v>6241887</v>
          </cell>
        </row>
        <row r="62">
          <cell r="D62">
            <v>5952999</v>
          </cell>
          <cell r="E62">
            <v>6241887</v>
          </cell>
        </row>
        <row r="64">
          <cell r="B64">
            <v>170058</v>
          </cell>
        </row>
        <row r="71">
          <cell r="D71">
            <v>189161</v>
          </cell>
          <cell r="E71">
            <v>198253</v>
          </cell>
        </row>
        <row r="74">
          <cell r="B74">
            <v>1603505</v>
          </cell>
        </row>
        <row r="82">
          <cell r="D82">
            <v>1794793</v>
          </cell>
          <cell r="E82">
            <v>1881838</v>
          </cell>
        </row>
        <row r="86">
          <cell r="C86">
            <v>0</v>
          </cell>
          <cell r="D86">
            <v>674559</v>
          </cell>
          <cell r="E86">
            <v>1089366</v>
          </cell>
        </row>
        <row r="97">
          <cell r="C97">
            <v>436753</v>
          </cell>
          <cell r="D97">
            <v>452594</v>
          </cell>
          <cell r="E97">
            <v>471316</v>
          </cell>
        </row>
      </sheetData>
      <sheetData sheetId="9">
        <row r="16">
          <cell r="L16">
            <v>1986859.8715425497</v>
          </cell>
        </row>
        <row r="17">
          <cell r="L17">
            <v>1373556.9081320206</v>
          </cell>
        </row>
        <row r="18">
          <cell r="L18">
            <v>909825.5699963918</v>
          </cell>
        </row>
        <row r="19">
          <cell r="L19">
            <v>1212190.8175605263</v>
          </cell>
        </row>
        <row r="20">
          <cell r="L20">
            <v>838397.2837545741</v>
          </cell>
        </row>
        <row r="21">
          <cell r="L21">
            <v>1297810.9059821265</v>
          </cell>
        </row>
        <row r="22">
          <cell r="L22">
            <v>867095.4170628599</v>
          </cell>
        </row>
        <row r="23">
          <cell r="L23">
            <v>397248.64226631884</v>
          </cell>
        </row>
        <row r="24">
          <cell r="L24">
            <v>502310.1579112294</v>
          </cell>
        </row>
        <row r="25">
          <cell r="L25">
            <v>618421.5285581084</v>
          </cell>
        </row>
        <row r="26">
          <cell r="L26">
            <v>734245.0640699428</v>
          </cell>
        </row>
        <row r="27">
          <cell r="L27">
            <v>339727.09193984594</v>
          </cell>
        </row>
        <row r="28">
          <cell r="L28">
            <v>393128.27832671086</v>
          </cell>
        </row>
        <row r="29">
          <cell r="L29">
            <v>417923.313483003</v>
          </cell>
        </row>
        <row r="30">
          <cell r="L30">
            <v>357901.6724584604</v>
          </cell>
        </row>
        <row r="31">
          <cell r="L31">
            <v>378105.0770237604</v>
          </cell>
        </row>
        <row r="32">
          <cell r="L32">
            <v>294357.6378520838</v>
          </cell>
        </row>
        <row r="33">
          <cell r="L33">
            <v>338079.8066642906</v>
          </cell>
        </row>
        <row r="34">
          <cell r="L34">
            <v>422850.6844946911</v>
          </cell>
        </row>
        <row r="35">
          <cell r="L35">
            <v>186761.3189544674</v>
          </cell>
        </row>
        <row r="36">
          <cell r="L36">
            <v>200864.23764492496</v>
          </cell>
        </row>
        <row r="37">
          <cell r="L37">
            <v>291141.4031172042</v>
          </cell>
        </row>
        <row r="38">
          <cell r="L38">
            <v>152963.88862317742</v>
          </cell>
        </row>
        <row r="39">
          <cell r="L39">
            <v>89947.97107837135</v>
          </cell>
        </row>
        <row r="40">
          <cell r="L40">
            <v>175698.280096688</v>
          </cell>
        </row>
        <row r="41">
          <cell r="L41">
            <v>102697.98938295981</v>
          </cell>
        </row>
        <row r="42">
          <cell r="L42">
            <v>97182.04762189106</v>
          </cell>
        </row>
        <row r="43">
          <cell r="L43">
            <v>53103.65447077415</v>
          </cell>
        </row>
        <row r="44">
          <cell r="L44">
            <v>23477.715055730623</v>
          </cell>
        </row>
        <row r="45">
          <cell r="L45">
            <v>43904.2943225558</v>
          </cell>
        </row>
        <row r="46">
          <cell r="L46">
            <v>25710.69425549079</v>
          </cell>
        </row>
        <row r="53">
          <cell r="J53">
            <v>22758</v>
          </cell>
        </row>
        <row r="54">
          <cell r="J54">
            <v>1500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G145"/>
  <sheetViews>
    <sheetView tabSelected="1" zoomScale="90" zoomScaleNormal="90" workbookViewId="0" topLeftCell="A1">
      <selection activeCell="C3" sqref="C3"/>
    </sheetView>
  </sheetViews>
  <sheetFormatPr defaultColWidth="9.140625" defaultRowHeight="12.75"/>
  <cols>
    <col min="1" max="1" width="48.421875" style="97" customWidth="1"/>
    <col min="2" max="3" width="17.28125" style="90" customWidth="1"/>
    <col min="4" max="5" width="17.28125" style="38" customWidth="1"/>
    <col min="6" max="7" width="17.28125" style="36" customWidth="1"/>
    <col min="8" max="8" width="11.00390625" style="6" bestFit="1" customWidth="1"/>
    <col min="9" max="16384" width="8.8515625" style="6" customWidth="1"/>
  </cols>
  <sheetData>
    <row r="1" spans="1:7" s="62" customFormat="1" ht="15.75">
      <c r="A1" s="102"/>
      <c r="B1" s="103"/>
      <c r="C1" s="103"/>
      <c r="D1" s="103"/>
      <c r="E1" s="103"/>
      <c r="F1" s="103"/>
      <c r="G1" s="103"/>
    </row>
    <row r="2" spans="1:7" ht="15.75">
      <c r="A2" s="104" t="s">
        <v>147</v>
      </c>
      <c r="B2" s="105"/>
      <c r="C2" s="105"/>
      <c r="D2" s="105"/>
      <c r="E2" s="105"/>
      <c r="F2" s="105"/>
      <c r="G2" s="105"/>
    </row>
    <row r="3" spans="1:7" ht="15.75">
      <c r="A3" s="3"/>
      <c r="B3" s="3"/>
      <c r="C3" s="3"/>
      <c r="D3" s="3"/>
      <c r="E3" s="3"/>
      <c r="F3" s="3"/>
      <c r="G3" s="98" t="s">
        <v>136</v>
      </c>
    </row>
    <row r="4" spans="1:7" ht="37.5">
      <c r="A4" s="4"/>
      <c r="B4" s="5" t="s">
        <v>114</v>
      </c>
      <c r="C4" s="5" t="s">
        <v>0</v>
      </c>
      <c r="D4" s="5" t="s">
        <v>115</v>
      </c>
      <c r="E4" s="5" t="s">
        <v>116</v>
      </c>
      <c r="F4" s="5" t="s">
        <v>117</v>
      </c>
      <c r="G4" s="5" t="s">
        <v>118</v>
      </c>
    </row>
    <row r="5" spans="1:7" ht="15.75">
      <c r="A5" s="63" t="s">
        <v>1</v>
      </c>
      <c r="B5" s="7">
        <v>9403719.19</v>
      </c>
      <c r="C5" s="8">
        <v>6070111</v>
      </c>
      <c r="D5" s="8">
        <f>+B87</f>
        <v>6243242.620000005</v>
      </c>
      <c r="E5" s="8">
        <f>+D87</f>
        <v>16468610.620000005</v>
      </c>
      <c r="F5" s="8">
        <f>+E87</f>
        <v>15998443.396296263</v>
      </c>
      <c r="G5" s="8">
        <f>+F87</f>
        <v>20388911.396296263</v>
      </c>
    </row>
    <row r="6" spans="1:7" ht="15.75">
      <c r="A6" s="64"/>
      <c r="B6" s="9"/>
      <c r="C6" s="10"/>
      <c r="D6" s="10"/>
      <c r="E6" s="10"/>
      <c r="F6" s="10"/>
      <c r="G6" s="10"/>
    </row>
    <row r="7" spans="1:7" ht="15.75">
      <c r="A7" s="63" t="s">
        <v>2</v>
      </c>
      <c r="B7" s="8"/>
      <c r="C7" s="8"/>
      <c r="D7" s="8"/>
      <c r="E7" s="8"/>
      <c r="F7" s="8"/>
      <c r="G7" s="8"/>
    </row>
    <row r="8" spans="1:7" ht="15.75">
      <c r="A8" s="65" t="s">
        <v>3</v>
      </c>
      <c r="B8" s="11">
        <v>39505477.34</v>
      </c>
      <c r="C8" s="11">
        <v>60985715</v>
      </c>
      <c r="D8" s="11">
        <v>65263164</v>
      </c>
      <c r="E8" s="10">
        <v>67384999</v>
      </c>
      <c r="F8" s="10">
        <v>68684845</v>
      </c>
      <c r="G8" s="10">
        <v>70100231</v>
      </c>
    </row>
    <row r="9" spans="1:7" ht="15.75">
      <c r="A9" s="65" t="s">
        <v>4</v>
      </c>
      <c r="B9" s="11"/>
      <c r="C9" s="11"/>
      <c r="D9" s="11">
        <v>25637</v>
      </c>
      <c r="E9" s="10"/>
      <c r="F9" s="10"/>
      <c r="G9" s="10"/>
    </row>
    <row r="10" spans="1:7" ht="15.75">
      <c r="A10" s="65" t="s">
        <v>5</v>
      </c>
      <c r="B10" s="11">
        <v>1439</v>
      </c>
      <c r="C10" s="10"/>
      <c r="D10" s="10">
        <v>1644</v>
      </c>
      <c r="E10" s="10"/>
      <c r="F10" s="10"/>
      <c r="G10" s="10"/>
    </row>
    <row r="11" spans="1:7" ht="15.75">
      <c r="A11" s="65" t="s">
        <v>6</v>
      </c>
      <c r="B11" s="11">
        <v>235.95</v>
      </c>
      <c r="C11" s="10"/>
      <c r="D11" s="10"/>
      <c r="E11" s="10"/>
      <c r="F11" s="10"/>
      <c r="G11" s="10"/>
    </row>
    <row r="12" spans="1:7" ht="15.75">
      <c r="A12" s="65" t="s">
        <v>7</v>
      </c>
      <c r="B12" s="11">
        <v>3110.36</v>
      </c>
      <c r="C12" s="12">
        <v>52000</v>
      </c>
      <c r="D12" s="12">
        <f>4137+145087+40000+77+1460</f>
        <v>190761</v>
      </c>
      <c r="E12" s="10">
        <v>195040</v>
      </c>
      <c r="F12" s="10">
        <v>195040</v>
      </c>
      <c r="G12" s="10">
        <v>195040</v>
      </c>
    </row>
    <row r="13" spans="1:7" ht="15.75">
      <c r="A13" s="65" t="s">
        <v>8</v>
      </c>
      <c r="B13" s="11">
        <f>674085.61-212000+40400</f>
        <v>502485.61</v>
      </c>
      <c r="C13" s="12">
        <v>306541</v>
      </c>
      <c r="D13" s="12">
        <f>453539+4137-D12</f>
        <v>266915</v>
      </c>
      <c r="E13" s="10">
        <v>481200</v>
      </c>
      <c r="F13" s="10">
        <v>506200</v>
      </c>
      <c r="G13" s="10">
        <v>538200</v>
      </c>
    </row>
    <row r="14" spans="1:7" ht="15.75">
      <c r="A14" s="65" t="s">
        <v>9</v>
      </c>
      <c r="B14" s="11">
        <f>439814.17-375000</f>
        <v>64814.169999999984</v>
      </c>
      <c r="C14" s="12">
        <v>4503</v>
      </c>
      <c r="D14" s="12">
        <v>4364</v>
      </c>
      <c r="E14" s="10">
        <v>3567</v>
      </c>
      <c r="F14" s="10">
        <v>3210</v>
      </c>
      <c r="G14" s="10">
        <v>2889</v>
      </c>
    </row>
    <row r="15" spans="1:7" ht="15.75">
      <c r="A15" s="65" t="s">
        <v>10</v>
      </c>
      <c r="B15" s="9">
        <v>375000</v>
      </c>
      <c r="C15" s="11">
        <v>375000</v>
      </c>
      <c r="D15" s="11">
        <v>375000</v>
      </c>
      <c r="E15" s="10"/>
      <c r="F15" s="10"/>
      <c r="G15" s="10"/>
    </row>
    <row r="16" spans="1:7" ht="4.5" customHeight="1">
      <c r="A16" s="66"/>
      <c r="B16" s="10"/>
      <c r="C16" s="10"/>
      <c r="D16" s="10"/>
      <c r="E16" s="10"/>
      <c r="F16" s="10"/>
      <c r="G16" s="10"/>
    </row>
    <row r="17" spans="1:7" ht="15.75">
      <c r="A17" s="67" t="s">
        <v>11</v>
      </c>
      <c r="B17" s="8">
        <f aca="true" t="shared" si="0" ref="B17:G17">SUM(B8:B16)</f>
        <v>40452562.43000001</v>
      </c>
      <c r="C17" s="8">
        <f t="shared" si="0"/>
        <v>61723759</v>
      </c>
      <c r="D17" s="8">
        <f t="shared" si="0"/>
        <v>66127485</v>
      </c>
      <c r="E17" s="8">
        <f t="shared" si="0"/>
        <v>68064806</v>
      </c>
      <c r="F17" s="8">
        <f t="shared" si="0"/>
        <v>69389295</v>
      </c>
      <c r="G17" s="8">
        <f t="shared" si="0"/>
        <v>70836360</v>
      </c>
    </row>
    <row r="18" spans="1:7" ht="15.75">
      <c r="A18" s="68"/>
      <c r="B18" s="13"/>
      <c r="C18" s="69"/>
      <c r="D18" s="13"/>
      <c r="E18" s="13"/>
      <c r="F18" s="13"/>
      <c r="G18" s="13"/>
    </row>
    <row r="19" spans="1:7" ht="15.75">
      <c r="A19" s="67" t="s">
        <v>12</v>
      </c>
      <c r="B19" s="8"/>
      <c r="C19" s="70"/>
      <c r="D19" s="8"/>
      <c r="E19" s="8"/>
      <c r="F19" s="8"/>
      <c r="G19" s="8"/>
    </row>
    <row r="20" spans="1:7" ht="15.75">
      <c r="A20" s="66" t="s">
        <v>13</v>
      </c>
      <c r="B20" s="10">
        <v>-28736207</v>
      </c>
      <c r="C20" s="25">
        <f>SUM(C21:C28)</f>
        <v>-34578142</v>
      </c>
      <c r="D20" s="25">
        <f>SUM(D21:D28)</f>
        <v>-34322147</v>
      </c>
      <c r="E20" s="25">
        <f>SUM(E21:E28)</f>
        <v>-36702124</v>
      </c>
      <c r="F20" s="25">
        <f>SUM(F21:F28)</f>
        <v>-38073297</v>
      </c>
      <c r="G20" s="13">
        <f>SUM(G21:G28)</f>
        <v>-40290832</v>
      </c>
    </row>
    <row r="21" spans="1:7" ht="15.75">
      <c r="A21" s="71" t="s">
        <v>14</v>
      </c>
      <c r="B21" s="10"/>
      <c r="C21" s="25">
        <v>-7368004</v>
      </c>
      <c r="D21" s="10">
        <f>C21</f>
        <v>-7368004</v>
      </c>
      <c r="E21" s="10">
        <v>-7724007</v>
      </c>
      <c r="F21" s="10">
        <f>-'[1]for ALS providers'!D23</f>
        <v>-7937332</v>
      </c>
      <c r="G21" s="10">
        <f>-'[1]for ALS providers'!E23</f>
        <v>-8322516</v>
      </c>
    </row>
    <row r="22" spans="1:7" ht="15.75">
      <c r="A22" s="71" t="s">
        <v>15</v>
      </c>
      <c r="B22" s="10"/>
      <c r="C22" s="25">
        <v>-14100063</v>
      </c>
      <c r="D22" s="10">
        <v>-14087235</v>
      </c>
      <c r="E22" s="10">
        <v>-15043954</v>
      </c>
      <c r="F22" s="10">
        <f>-'[1]for ALS providers'!D36</f>
        <v>-15118860</v>
      </c>
      <c r="G22" s="10">
        <f>-'[1]for ALS providers'!E36</f>
        <v>-15843769</v>
      </c>
    </row>
    <row r="23" spans="1:7" ht="15.75">
      <c r="A23" s="71" t="s">
        <v>16</v>
      </c>
      <c r="B23" s="10"/>
      <c r="C23" s="25">
        <f>-'[1]for ALS providers'!B39</f>
        <v>-5345017</v>
      </c>
      <c r="D23" s="10">
        <v>-5345017</v>
      </c>
      <c r="E23" s="10">
        <v>-5875448</v>
      </c>
      <c r="F23" s="10">
        <f>-'[1]for ALS providers'!D49</f>
        <v>-5952999</v>
      </c>
      <c r="G23" s="10">
        <f>-'[1]for ALS providers'!E49</f>
        <v>-6241887</v>
      </c>
    </row>
    <row r="24" spans="1:7" ht="15.75">
      <c r="A24" s="71" t="s">
        <v>17</v>
      </c>
      <c r="B24" s="10"/>
      <c r="C24" s="25">
        <v>-5748328</v>
      </c>
      <c r="D24" s="10">
        <v>-5748328</v>
      </c>
      <c r="E24" s="10">
        <v>-5710623</v>
      </c>
      <c r="F24" s="10">
        <f>-'[1]for ALS providers'!D62</f>
        <v>-5952999</v>
      </c>
      <c r="G24" s="10">
        <f>-'[1]for ALS providers'!E62</f>
        <v>-6241887</v>
      </c>
    </row>
    <row r="25" spans="1:7" ht="15.75">
      <c r="A25" s="71" t="s">
        <v>18</v>
      </c>
      <c r="B25" s="10"/>
      <c r="C25" s="25">
        <f>-'[1]for ALS providers'!B64</f>
        <v>-170058</v>
      </c>
      <c r="D25" s="10">
        <v>-170058</v>
      </c>
      <c r="E25" s="10">
        <v>-181430</v>
      </c>
      <c r="F25" s="10">
        <f>-'[1]for ALS providers'!D71</f>
        <v>-189161</v>
      </c>
      <c r="G25" s="10">
        <f>-'[1]for ALS providers'!E71</f>
        <v>-198253</v>
      </c>
    </row>
    <row r="26" spans="1:7" ht="15.75">
      <c r="A26" s="71" t="s">
        <v>19</v>
      </c>
      <c r="B26" s="10"/>
      <c r="C26" s="25">
        <f>-'[1]for ALS providers'!B74</f>
        <v>-1603505</v>
      </c>
      <c r="D26" s="10">
        <v>-1603505</v>
      </c>
      <c r="E26" s="10">
        <v>-1729909</v>
      </c>
      <c r="F26" s="10">
        <f>-'[1]for ALS providers'!D82</f>
        <v>-1794793</v>
      </c>
      <c r="G26" s="10">
        <f>-'[1]for ALS providers'!E82</f>
        <v>-1881838</v>
      </c>
    </row>
    <row r="27" spans="1:7" ht="15.75">
      <c r="A27" s="71" t="s">
        <v>20</v>
      </c>
      <c r="B27" s="10"/>
      <c r="C27" s="25"/>
      <c r="D27" s="10">
        <f>C27</f>
        <v>0</v>
      </c>
      <c r="E27" s="10">
        <f>-'[1]for ALS providers'!C86</f>
        <v>0</v>
      </c>
      <c r="F27" s="10">
        <f>-'[1]for ALS providers'!D86</f>
        <v>-674559</v>
      </c>
      <c r="G27" s="10">
        <f>-'[1]for ALS providers'!E86</f>
        <v>-1089366</v>
      </c>
    </row>
    <row r="28" spans="1:7" ht="15.75">
      <c r="A28" s="71" t="s">
        <v>21</v>
      </c>
      <c r="B28" s="10"/>
      <c r="C28" s="25">
        <v>-243167</v>
      </c>
      <c r="D28" s="10">
        <v>0</v>
      </c>
      <c r="E28" s="10">
        <f>-'[1]for ALS providers'!C97</f>
        <v>-436753</v>
      </c>
      <c r="F28" s="10">
        <f>-'[1]for ALS providers'!D97</f>
        <v>-452594</v>
      </c>
      <c r="G28" s="10">
        <f>-'[1]for ALS providers'!E97</f>
        <v>-471316</v>
      </c>
    </row>
    <row r="29" spans="1:7" ht="4.5" customHeight="1">
      <c r="A29" s="66"/>
      <c r="B29" s="10"/>
      <c r="C29" s="25"/>
      <c r="D29" s="10"/>
      <c r="E29" s="10"/>
      <c r="F29" s="10"/>
      <c r="G29" s="10"/>
    </row>
    <row r="30" spans="1:7" ht="18.75">
      <c r="A30" s="66" t="s">
        <v>137</v>
      </c>
      <c r="B30" s="10">
        <v>-9674865</v>
      </c>
      <c r="C30" s="25">
        <v>-14390254</v>
      </c>
      <c r="D30" s="25">
        <f>SUM(D31:D63)</f>
        <v>-14390254</v>
      </c>
      <c r="E30" s="10">
        <f>SUM(E31:E63)</f>
        <v>-15147747.223703733</v>
      </c>
      <c r="F30" s="10">
        <f>SUM(F31:F63)</f>
        <v>-15552838</v>
      </c>
      <c r="G30" s="10">
        <f>SUM(G31:G63)</f>
        <v>-16019423</v>
      </c>
    </row>
    <row r="31" spans="1:7" ht="15.75">
      <c r="A31" s="71" t="s">
        <v>14</v>
      </c>
      <c r="B31" s="10">
        <v>-1208884</v>
      </c>
      <c r="C31" s="25">
        <v>-1880258</v>
      </c>
      <c r="D31" s="25">
        <f>C31</f>
        <v>-1880258</v>
      </c>
      <c r="E31" s="10">
        <f>-'[1]BLS Allocation'!L16</f>
        <v>-1986859.8715425497</v>
      </c>
      <c r="F31" s="10">
        <v>-2039997</v>
      </c>
      <c r="G31" s="10">
        <v>-2101201</v>
      </c>
    </row>
    <row r="32" spans="1:7" ht="15.75">
      <c r="A32" s="71" t="s">
        <v>22</v>
      </c>
      <c r="B32" s="10">
        <v>-50087</v>
      </c>
      <c r="C32" s="25">
        <v>-70413</v>
      </c>
      <c r="D32" s="25">
        <f aca="true" t="shared" si="1" ref="D32:D63">C32</f>
        <v>-70413</v>
      </c>
      <c r="E32" s="10">
        <f>-'[1]BLS Allocation'!L43</f>
        <v>-53103.65447077415</v>
      </c>
      <c r="F32" s="10">
        <v>-54524</v>
      </c>
      <c r="G32" s="10">
        <v>-56160</v>
      </c>
    </row>
    <row r="33" spans="1:7" ht="15.75">
      <c r="A33" s="71" t="s">
        <v>23</v>
      </c>
      <c r="B33" s="10">
        <v>-201298</v>
      </c>
      <c r="C33" s="25">
        <v>-320359</v>
      </c>
      <c r="D33" s="25">
        <f t="shared" si="1"/>
        <v>-320359</v>
      </c>
      <c r="E33" s="10">
        <f>-'[1]BLS Allocation'!L33</f>
        <v>-338079.8066642906</v>
      </c>
      <c r="F33" s="10">
        <v>-347122</v>
      </c>
      <c r="G33" s="10">
        <v>-357537</v>
      </c>
    </row>
    <row r="34" spans="1:7" ht="15.75">
      <c r="A34" s="71" t="s">
        <v>24</v>
      </c>
      <c r="B34" s="10">
        <v>-110372</v>
      </c>
      <c r="C34" s="25">
        <v>-147291</v>
      </c>
      <c r="D34" s="25">
        <f t="shared" si="1"/>
        <v>-147291</v>
      </c>
      <c r="E34" s="10">
        <f>-'[1]BLS Allocation'!L38</f>
        <v>-152963.88862317742</v>
      </c>
      <c r="F34" s="10">
        <v>-157055</v>
      </c>
      <c r="G34" s="10">
        <v>-161767</v>
      </c>
    </row>
    <row r="35" spans="1:7" ht="15.75">
      <c r="A35" s="71" t="s">
        <v>25</v>
      </c>
      <c r="B35" s="10">
        <v>-949850</v>
      </c>
      <c r="C35" s="25">
        <v>-1313186</v>
      </c>
      <c r="D35" s="25">
        <f t="shared" si="1"/>
        <v>-1313186</v>
      </c>
      <c r="E35" s="10">
        <f>-'[1]BLS Allocation'!L17</f>
        <v>-1373556.9081320206</v>
      </c>
      <c r="F35" s="10">
        <v>-1410292</v>
      </c>
      <c r="G35" s="10">
        <v>-1452604</v>
      </c>
    </row>
    <row r="36" spans="1:7" ht="15.75">
      <c r="A36" s="71" t="s">
        <v>26</v>
      </c>
      <c r="B36" s="10">
        <v>-230549</v>
      </c>
      <c r="C36" s="25">
        <v>-282663</v>
      </c>
      <c r="D36" s="25">
        <f t="shared" si="1"/>
        <v>-282663</v>
      </c>
      <c r="E36" s="10">
        <f>-'[1]BLS Allocation'!L37</f>
        <v>-291141.4031172042</v>
      </c>
      <c r="F36" s="10">
        <v>-298928</v>
      </c>
      <c r="G36" s="10">
        <v>-307897</v>
      </c>
    </row>
    <row r="37" spans="1:7" ht="15.75">
      <c r="A37" s="71" t="s">
        <v>27</v>
      </c>
      <c r="B37" s="10">
        <v>-775056</v>
      </c>
      <c r="C37" s="25">
        <v>-1196673</v>
      </c>
      <c r="D37" s="25">
        <f t="shared" si="1"/>
        <v>-1196673</v>
      </c>
      <c r="E37" s="10">
        <f>-'[1]BLS Allocation'!L19</f>
        <v>-1212190.8175605263</v>
      </c>
      <c r="F37" s="10">
        <v>-1244610</v>
      </c>
      <c r="G37" s="10">
        <v>-1281951</v>
      </c>
    </row>
    <row r="38" spans="1:7" ht="15.75">
      <c r="A38" s="71" t="s">
        <v>28</v>
      </c>
      <c r="B38" s="10">
        <v>-239292</v>
      </c>
      <c r="C38" s="25">
        <v>-372485</v>
      </c>
      <c r="D38" s="25">
        <f t="shared" si="1"/>
        <v>-372485</v>
      </c>
      <c r="E38" s="10">
        <f>-'[1]BLS Allocation'!L28</f>
        <v>-393128.27832671086</v>
      </c>
      <c r="F38" s="10">
        <v>-403643</v>
      </c>
      <c r="G38" s="10">
        <v>-415754</v>
      </c>
    </row>
    <row r="39" spans="1:7" ht="15.75">
      <c r="A39" s="71" t="s">
        <v>29</v>
      </c>
      <c r="B39" s="10">
        <v>-112317</v>
      </c>
      <c r="C39" s="25">
        <v>-166630</v>
      </c>
      <c r="D39" s="25">
        <f t="shared" si="1"/>
        <v>-166630</v>
      </c>
      <c r="E39" s="10">
        <f>-'[1]BLS Allocation'!L40</f>
        <v>-175698.280096688</v>
      </c>
      <c r="F39" s="10">
        <v>-180398</v>
      </c>
      <c r="G39" s="10">
        <v>-185811</v>
      </c>
    </row>
    <row r="40" spans="1:7" ht="15.75">
      <c r="A40" s="71" t="s">
        <v>30</v>
      </c>
      <c r="B40" s="10"/>
      <c r="C40" s="25"/>
      <c r="D40" s="25">
        <f t="shared" si="1"/>
        <v>0</v>
      </c>
      <c r="E40" s="10">
        <f>-'[1]BLS Allocation'!L41</f>
        <v>-102697.98938295981</v>
      </c>
      <c r="F40" s="10">
        <v>-105445</v>
      </c>
      <c r="G40" s="10">
        <v>-108609</v>
      </c>
    </row>
    <row r="41" spans="1:7" ht="15.75">
      <c r="A41" s="71" t="s">
        <v>31</v>
      </c>
      <c r="B41" s="10">
        <v>-69238</v>
      </c>
      <c r="C41" s="25">
        <v>-93248</v>
      </c>
      <c r="D41" s="25">
        <f t="shared" si="1"/>
        <v>-93248</v>
      </c>
      <c r="E41" s="10">
        <f>-'[1]BLS Allocation'!L42</f>
        <v>-97182.04762189106</v>
      </c>
      <c r="F41" s="10">
        <v>-99782</v>
      </c>
      <c r="G41" s="10">
        <v>-102776</v>
      </c>
    </row>
    <row r="42" spans="1:7" ht="15.75">
      <c r="A42" s="71" t="s">
        <v>32</v>
      </c>
      <c r="B42" s="10">
        <v>-210667</v>
      </c>
      <c r="C42" s="25">
        <v>-304361</v>
      </c>
      <c r="D42" s="25">
        <f t="shared" si="1"/>
        <v>-304361</v>
      </c>
      <c r="E42" s="10">
        <f>-'[1]BLS Allocation'!L36</f>
        <v>-200864.23764492496</v>
      </c>
      <c r="F42" s="10">
        <v>-206237</v>
      </c>
      <c r="G42" s="10">
        <v>-212425</v>
      </c>
    </row>
    <row r="43" spans="1:7" ht="15.75">
      <c r="A43" s="71" t="s">
        <v>33</v>
      </c>
      <c r="B43" s="10">
        <v>-252271</v>
      </c>
      <c r="C43" s="25">
        <v>-322013</v>
      </c>
      <c r="D43" s="25">
        <f t="shared" si="1"/>
        <v>-322013</v>
      </c>
      <c r="E43" s="10">
        <f>-'[1]BLS Allocation'!L32</f>
        <v>-294357.6378520838</v>
      </c>
      <c r="F43" s="10">
        <v>-302231</v>
      </c>
      <c r="G43" s="10">
        <v>-311299</v>
      </c>
    </row>
    <row r="44" spans="1:7" ht="15.75">
      <c r="A44" s="71" t="s">
        <v>34</v>
      </c>
      <c r="B44" s="10">
        <v>-19210</v>
      </c>
      <c r="C44" s="25">
        <f>-22876-1</f>
        <v>-22877</v>
      </c>
      <c r="D44" s="25">
        <f>C44</f>
        <v>-22877</v>
      </c>
      <c r="E44" s="10">
        <f>-'[1]BLS Allocation'!L44</f>
        <v>-23477.715055730623</v>
      </c>
      <c r="F44" s="10">
        <v>-24106</v>
      </c>
      <c r="G44" s="10">
        <v>-24830</v>
      </c>
    </row>
    <row r="45" spans="1:7" ht="15.75">
      <c r="A45" s="71" t="s">
        <v>35</v>
      </c>
      <c r="B45" s="10">
        <v>-18850</v>
      </c>
      <c r="C45" s="25">
        <v>-24812</v>
      </c>
      <c r="D45" s="25">
        <f t="shared" si="1"/>
        <v>-24812</v>
      </c>
      <c r="E45" s="10">
        <f>-'[1]BLS Allocation'!L46</f>
        <v>-25710.69425549079</v>
      </c>
      <c r="F45" s="10">
        <v>-26399</v>
      </c>
      <c r="G45" s="10">
        <v>-27192</v>
      </c>
    </row>
    <row r="46" spans="1:7" ht="15.75">
      <c r="A46" s="71" t="s">
        <v>36</v>
      </c>
      <c r="B46" s="10">
        <v>-33221</v>
      </c>
      <c r="C46" s="25">
        <v>-42660</v>
      </c>
      <c r="D46" s="25">
        <f t="shared" si="1"/>
        <v>-42660</v>
      </c>
      <c r="E46" s="10">
        <f>-'[1]BLS Allocation'!L45</f>
        <v>-43904.2943225558</v>
      </c>
      <c r="F46" s="10">
        <v>-45079</v>
      </c>
      <c r="G46" s="10">
        <v>-46432</v>
      </c>
    </row>
    <row r="47" spans="1:7" ht="15.75">
      <c r="A47" s="71" t="s">
        <v>37</v>
      </c>
      <c r="B47" s="10">
        <v>-512252</v>
      </c>
      <c r="C47" s="25">
        <v>-793023</v>
      </c>
      <c r="D47" s="25">
        <f t="shared" si="1"/>
        <v>-793023</v>
      </c>
      <c r="E47" s="10">
        <f>-'[1]BLS Allocation'!L20</f>
        <v>-838397.2837545741</v>
      </c>
      <c r="F47" s="10">
        <v>-860820</v>
      </c>
      <c r="G47" s="10">
        <v>-886647</v>
      </c>
    </row>
    <row r="48" spans="1:7" ht="15.75">
      <c r="A48" s="71" t="s">
        <v>38</v>
      </c>
      <c r="B48" s="10">
        <v>-304293</v>
      </c>
      <c r="C48" s="25">
        <v>-402249</v>
      </c>
      <c r="D48" s="25">
        <f t="shared" si="1"/>
        <v>-402249</v>
      </c>
      <c r="E48" s="10">
        <f>-'[1]BLS Allocation'!L29</f>
        <v>-417923.313483003</v>
      </c>
      <c r="F48" s="10">
        <v>-429101</v>
      </c>
      <c r="G48" s="10">
        <v>-441975</v>
      </c>
    </row>
    <row r="49" spans="1:7" ht="15.75">
      <c r="A49" s="71" t="s">
        <v>39</v>
      </c>
      <c r="B49" s="10">
        <v>-244629</v>
      </c>
      <c r="C49" s="25">
        <v>-376175</v>
      </c>
      <c r="D49" s="25">
        <f t="shared" si="1"/>
        <v>-376175</v>
      </c>
      <c r="E49" s="10">
        <f>-'[1]BLS Allocation'!L23</f>
        <v>-397248.64226631884</v>
      </c>
      <c r="F49" s="10">
        <v>-407873</v>
      </c>
      <c r="G49" s="10">
        <v>-420110</v>
      </c>
    </row>
    <row r="50" spans="1:7" ht="15.75">
      <c r="A50" s="71" t="s">
        <v>40</v>
      </c>
      <c r="B50" s="10">
        <v>-14889</v>
      </c>
      <c r="C50" s="25">
        <v>-22861</v>
      </c>
      <c r="D50" s="25">
        <f t="shared" si="1"/>
        <v>-22861</v>
      </c>
      <c r="E50" s="10">
        <f>-'[1]BLS Allocation'!J53</f>
        <v>-22758</v>
      </c>
      <c r="F50" s="10">
        <v>-23367</v>
      </c>
      <c r="G50" s="10">
        <v>-24069</v>
      </c>
    </row>
    <row r="51" spans="1:7" ht="15.75">
      <c r="A51" s="71" t="s">
        <v>41</v>
      </c>
      <c r="B51" s="10">
        <v>-280748</v>
      </c>
      <c r="C51" s="25">
        <v>-403766</v>
      </c>
      <c r="D51" s="25">
        <f t="shared" si="1"/>
        <v>-403766</v>
      </c>
      <c r="E51" s="10">
        <f>-'[1]BLS Allocation'!L34</f>
        <v>-422850.6844946911</v>
      </c>
      <c r="F51" s="10">
        <v>-434160</v>
      </c>
      <c r="G51" s="10">
        <v>-447186</v>
      </c>
    </row>
    <row r="52" spans="1:7" ht="15.75">
      <c r="A52" s="71" t="s">
        <v>42</v>
      </c>
      <c r="B52" s="10">
        <v>-211146</v>
      </c>
      <c r="C52" s="25">
        <v>-321869</v>
      </c>
      <c r="D52" s="25">
        <f t="shared" si="1"/>
        <v>-321869</v>
      </c>
      <c r="E52" s="10">
        <f>-'[1]BLS Allocation'!L27</f>
        <v>-339727.09193984594</v>
      </c>
      <c r="F52" s="10">
        <v>-348813</v>
      </c>
      <c r="G52" s="10">
        <v>-359279</v>
      </c>
    </row>
    <row r="53" spans="1:7" ht="15.75">
      <c r="A53" s="71" t="s">
        <v>43</v>
      </c>
      <c r="B53" s="10">
        <v>-1500</v>
      </c>
      <c r="C53" s="25">
        <v>-1500</v>
      </c>
      <c r="D53" s="25">
        <f t="shared" si="1"/>
        <v>-1500</v>
      </c>
      <c r="E53" s="10">
        <f>-'[1]BLS Allocation'!J54</f>
        <v>-1500</v>
      </c>
      <c r="F53" s="10">
        <v>-1500</v>
      </c>
      <c r="G53" s="10">
        <v>-1500</v>
      </c>
    </row>
    <row r="54" spans="1:7" ht="15.75">
      <c r="A54" s="71" t="s">
        <v>16</v>
      </c>
      <c r="B54" s="10">
        <v>-574375</v>
      </c>
      <c r="C54" s="25">
        <v>-863380</v>
      </c>
      <c r="D54" s="25">
        <f t="shared" si="1"/>
        <v>-863380</v>
      </c>
      <c r="E54" s="10">
        <f>-'[1]BLS Allocation'!L18</f>
        <v>-909825.5699963918</v>
      </c>
      <c r="F54" s="10">
        <v>-934159</v>
      </c>
      <c r="G54" s="10">
        <v>-962186</v>
      </c>
    </row>
    <row r="55" spans="1:7" ht="15.75">
      <c r="A55" s="71" t="s">
        <v>44</v>
      </c>
      <c r="B55" s="10">
        <v>-514465</v>
      </c>
      <c r="C55" s="25">
        <v>-805254</v>
      </c>
      <c r="D55" s="25">
        <f t="shared" si="1"/>
        <v>-805254</v>
      </c>
      <c r="E55" s="10">
        <f>-'[1]BLS Allocation'!L22</f>
        <v>-867095.4170628599</v>
      </c>
      <c r="F55" s="10">
        <v>-890286</v>
      </c>
      <c r="G55" s="10">
        <v>-916997</v>
      </c>
    </row>
    <row r="56" spans="1:7" ht="15.75">
      <c r="A56" s="71" t="s">
        <v>45</v>
      </c>
      <c r="B56" s="10">
        <v>-221407</v>
      </c>
      <c r="C56" s="25">
        <v>-338636</v>
      </c>
      <c r="D56" s="25">
        <f t="shared" si="1"/>
        <v>-338636</v>
      </c>
      <c r="E56" s="10">
        <f>-'[1]BLS Allocation'!L30</f>
        <v>-357901.6724584604</v>
      </c>
      <c r="F56" s="10">
        <v>-367474</v>
      </c>
      <c r="G56" s="10">
        <v>-378499</v>
      </c>
    </row>
    <row r="57" spans="1:7" ht="15.75">
      <c r="A57" s="71" t="s">
        <v>127</v>
      </c>
      <c r="B57" s="10">
        <v>-380055</v>
      </c>
      <c r="C57" s="25">
        <v>-585623</v>
      </c>
      <c r="D57" s="25">
        <f t="shared" si="1"/>
        <v>-585623</v>
      </c>
      <c r="E57" s="10">
        <f>-'[1]BLS Allocation'!L25</f>
        <v>-618421.5285581084</v>
      </c>
      <c r="F57" s="10">
        <v>-634961</v>
      </c>
      <c r="G57" s="10">
        <v>-654011</v>
      </c>
    </row>
    <row r="58" spans="1:7" ht="15.75">
      <c r="A58" s="71" t="s">
        <v>46</v>
      </c>
      <c r="B58" s="10">
        <v>-53702</v>
      </c>
      <c r="C58" s="25">
        <v>-84677</v>
      </c>
      <c r="D58" s="25">
        <f t="shared" si="1"/>
        <v>-84677</v>
      </c>
      <c r="E58" s="10">
        <f>-'[1]BLS Allocation'!L39</f>
        <v>-89947.97107837135</v>
      </c>
      <c r="F58" s="10">
        <v>-92354</v>
      </c>
      <c r="G58" s="10">
        <v>-95125</v>
      </c>
    </row>
    <row r="59" spans="1:7" ht="15.75">
      <c r="A59" s="71" t="s">
        <v>47</v>
      </c>
      <c r="B59" s="10">
        <v>-787067</v>
      </c>
      <c r="C59" s="25">
        <v>-1200765</v>
      </c>
      <c r="D59" s="25">
        <f t="shared" si="1"/>
        <v>-1200765</v>
      </c>
      <c r="E59" s="10">
        <f>-'[1]BLS Allocation'!L21</f>
        <v>-1297810.9059821265</v>
      </c>
      <c r="F59" s="10">
        <v>-1332520</v>
      </c>
      <c r="G59" s="10">
        <v>-1372498</v>
      </c>
    </row>
    <row r="60" spans="1:7" ht="15.75">
      <c r="A60" s="71" t="s">
        <v>48</v>
      </c>
      <c r="B60" s="10">
        <v>-231283</v>
      </c>
      <c r="C60" s="25">
        <v>-358505</v>
      </c>
      <c r="D60" s="25">
        <f t="shared" si="1"/>
        <v>-358505</v>
      </c>
      <c r="E60" s="10">
        <f>-'[1]BLS Allocation'!L31</f>
        <v>-378105.0770237604</v>
      </c>
      <c r="F60" s="10">
        <v>-388218</v>
      </c>
      <c r="G60" s="10">
        <v>-399866</v>
      </c>
    </row>
    <row r="61" spans="1:7" ht="15.75">
      <c r="A61" s="71" t="s">
        <v>128</v>
      </c>
      <c r="B61" s="10">
        <v>-408093</v>
      </c>
      <c r="C61" s="25">
        <v>-616152</v>
      </c>
      <c r="D61" s="25">
        <f t="shared" si="1"/>
        <v>-616152</v>
      </c>
      <c r="E61" s="10">
        <f>-'[1]BLS Allocation'!L26</f>
        <v>-734245.0640699428</v>
      </c>
      <c r="F61" s="10">
        <v>-753882</v>
      </c>
      <c r="G61" s="10">
        <v>-776500</v>
      </c>
    </row>
    <row r="62" spans="1:7" ht="15.75">
      <c r="A62" s="71" t="s">
        <v>19</v>
      </c>
      <c r="B62" s="10">
        <v>-129619</v>
      </c>
      <c r="C62" s="25">
        <v>-178551</v>
      </c>
      <c r="D62" s="25">
        <f t="shared" si="1"/>
        <v>-178551</v>
      </c>
      <c r="E62" s="10">
        <f>-'[1]BLS Allocation'!L35</f>
        <v>-186761.3189544674</v>
      </c>
      <c r="F62" s="10">
        <v>-191757</v>
      </c>
      <c r="G62" s="10">
        <v>-197511</v>
      </c>
    </row>
    <row r="63" spans="1:7" ht="15.75">
      <c r="A63" s="71" t="s">
        <v>49</v>
      </c>
      <c r="B63" s="10">
        <v>-324180</v>
      </c>
      <c r="C63" s="25">
        <v>-477339</v>
      </c>
      <c r="D63" s="25">
        <f t="shared" si="1"/>
        <v>-477339</v>
      </c>
      <c r="E63" s="10">
        <f>-'[1]BLS Allocation'!L24</f>
        <v>-502310.1579112294</v>
      </c>
      <c r="F63" s="10">
        <v>-515745</v>
      </c>
      <c r="G63" s="10">
        <v>-531219</v>
      </c>
    </row>
    <row r="64" spans="1:7" ht="4.5" customHeight="1">
      <c r="A64" s="66"/>
      <c r="B64" s="10"/>
      <c r="C64" s="25"/>
      <c r="D64" s="10"/>
      <c r="E64" s="10"/>
      <c r="F64" s="10"/>
      <c r="G64" s="10"/>
    </row>
    <row r="65" spans="1:7" ht="15.75">
      <c r="A65" s="66" t="s">
        <v>50</v>
      </c>
      <c r="B65" s="10">
        <v>-5201967</v>
      </c>
      <c r="C65" s="25">
        <v>-6339601</v>
      </c>
      <c r="D65" s="10">
        <v>-5903766</v>
      </c>
      <c r="E65" s="10">
        <v>-6951483</v>
      </c>
      <c r="F65" s="10">
        <v>-7134123</v>
      </c>
      <c r="G65" s="10">
        <v>-7515857</v>
      </c>
    </row>
    <row r="66" spans="1:7" ht="4.5" customHeight="1">
      <c r="A66" s="66"/>
      <c r="B66" s="10"/>
      <c r="C66" s="25"/>
      <c r="D66" s="10"/>
      <c r="E66" s="10"/>
      <c r="F66" s="10"/>
      <c r="G66" s="10"/>
    </row>
    <row r="67" spans="1:7" ht="15.75">
      <c r="A67" s="66" t="s">
        <v>51</v>
      </c>
      <c r="B67" s="10"/>
      <c r="C67" s="25">
        <v>-1361580</v>
      </c>
      <c r="D67" s="10">
        <v>-680132</v>
      </c>
      <c r="E67" s="10">
        <v>-1684818</v>
      </c>
      <c r="F67" s="10">
        <v>-1595569</v>
      </c>
      <c r="G67" s="10">
        <v>-1595912</v>
      </c>
    </row>
    <row r="68" spans="1:7" ht="4.5" customHeight="1">
      <c r="A68" s="66"/>
      <c r="B68" s="10"/>
      <c r="C68" s="25"/>
      <c r="D68" s="10"/>
      <c r="E68" s="10"/>
      <c r="F68" s="10"/>
      <c r="G68" s="10"/>
    </row>
    <row r="69" spans="1:7" ht="15.75">
      <c r="A69" s="66" t="s">
        <v>52</v>
      </c>
      <c r="B69" s="10"/>
      <c r="C69" s="25">
        <v>0</v>
      </c>
      <c r="D69" s="10">
        <v>0</v>
      </c>
      <c r="E69" s="10">
        <v>0</v>
      </c>
      <c r="F69" s="10">
        <v>0</v>
      </c>
      <c r="G69" s="10">
        <v>0</v>
      </c>
    </row>
    <row r="70" spans="1:7" ht="15.75">
      <c r="A70" s="66" t="s">
        <v>53</v>
      </c>
      <c r="B70" s="10"/>
      <c r="C70" s="25">
        <v>-2104452</v>
      </c>
      <c r="D70" s="10">
        <v>0</v>
      </c>
      <c r="E70" s="10">
        <v>-2199152</v>
      </c>
      <c r="F70" s="10">
        <v>-2298114</v>
      </c>
      <c r="G70" s="10">
        <v>-2401529</v>
      </c>
    </row>
    <row r="71" spans="1:7" ht="15.75">
      <c r="A71" s="66" t="s">
        <v>54</v>
      </c>
      <c r="B71" s="10"/>
      <c r="C71" s="25">
        <v>0</v>
      </c>
      <c r="D71" s="10">
        <v>0</v>
      </c>
      <c r="E71" s="10">
        <v>0</v>
      </c>
      <c r="F71" s="10">
        <v>0</v>
      </c>
      <c r="G71" s="10">
        <v>0</v>
      </c>
    </row>
    <row r="72" spans="1:7" ht="15.75">
      <c r="A72" s="66" t="s">
        <v>55</v>
      </c>
      <c r="B72" s="10"/>
      <c r="C72" s="25">
        <v>-3216379</v>
      </c>
      <c r="D72" s="10">
        <v>0</v>
      </c>
      <c r="E72" s="10">
        <v>-4809156</v>
      </c>
      <c r="F72" s="10">
        <v>-5085682</v>
      </c>
      <c r="G72" s="10">
        <v>-5378109</v>
      </c>
    </row>
    <row r="73" spans="1:7" ht="15.75" hidden="1">
      <c r="A73" s="66" t="s">
        <v>56</v>
      </c>
      <c r="B73" s="10"/>
      <c r="C73" s="25">
        <v>0</v>
      </c>
      <c r="D73" s="10">
        <v>0</v>
      </c>
      <c r="E73" s="10"/>
      <c r="F73" s="10"/>
      <c r="G73" s="10"/>
    </row>
    <row r="74" spans="1:7" ht="15.75">
      <c r="A74" s="66" t="s">
        <v>57</v>
      </c>
      <c r="B74" s="10"/>
      <c r="C74" s="25">
        <v>-61000</v>
      </c>
      <c r="D74" s="10"/>
      <c r="E74" s="10">
        <f>-64759-61000</f>
        <v>-125759</v>
      </c>
      <c r="F74" s="10">
        <v>-68360</v>
      </c>
      <c r="G74" s="10">
        <v>-71947</v>
      </c>
    </row>
    <row r="75" spans="1:7" ht="15.75">
      <c r="A75" s="66" t="s">
        <v>129</v>
      </c>
      <c r="B75" s="10"/>
      <c r="C75" s="25"/>
      <c r="D75" s="10"/>
      <c r="E75" s="10">
        <v>-171903</v>
      </c>
      <c r="F75" s="10"/>
      <c r="G75" s="10"/>
    </row>
    <row r="76" spans="1:7" ht="15.75">
      <c r="A76" s="66" t="s">
        <v>130</v>
      </c>
      <c r="B76" s="10"/>
      <c r="C76" s="25"/>
      <c r="D76" s="10"/>
      <c r="E76" s="10">
        <v>-201751</v>
      </c>
      <c r="F76" s="10"/>
      <c r="G76" s="10"/>
    </row>
    <row r="77" spans="1:7" ht="15.75">
      <c r="A77" s="66" t="s">
        <v>58</v>
      </c>
      <c r="B77" s="10"/>
      <c r="C77" s="25">
        <f>-566717-C28</f>
        <v>-323550</v>
      </c>
      <c r="D77" s="10">
        <v>-565000</v>
      </c>
      <c r="E77" s="10">
        <f>-977833-E28</f>
        <v>-541080</v>
      </c>
      <c r="F77" s="10"/>
      <c r="G77" s="10"/>
    </row>
    <row r="78" spans="1:7" ht="4.5" customHeight="1">
      <c r="A78" s="66"/>
      <c r="B78" s="10"/>
      <c r="C78" s="25"/>
      <c r="D78" s="10"/>
      <c r="E78" s="10"/>
      <c r="F78" s="10"/>
      <c r="G78" s="10"/>
    </row>
    <row r="79" spans="1:7" ht="15.75">
      <c r="A79" s="67" t="s">
        <v>59</v>
      </c>
      <c r="B79" s="8">
        <f>B74+B73+B72+B71+B70+B69+B67+B65+B30+B20+B77</f>
        <v>-43613039</v>
      </c>
      <c r="C79" s="8">
        <f>C74+C73+C72+C71+C70+C69+C67+C65+C30+C20+C77</f>
        <v>-62374958</v>
      </c>
      <c r="D79" s="8">
        <f>D20+D30+SUM(D65:D77)</f>
        <v>-55861299</v>
      </c>
      <c r="E79" s="8">
        <f>E20+E30+SUM(E65:E77)</f>
        <v>-68534973.22370374</v>
      </c>
      <c r="F79" s="8">
        <f>F74+F73+F72+F71+F70+F69+F67+F65+F30+F20+F77</f>
        <v>-69807983</v>
      </c>
      <c r="G79" s="8">
        <f>G74+G73+G72+G71+G70+G69+G67+G65+G30+G20+G77</f>
        <v>-73273609</v>
      </c>
    </row>
    <row r="80" spans="1:7" ht="15" customHeight="1">
      <c r="A80" s="72" t="s">
        <v>132</v>
      </c>
      <c r="B80" s="8"/>
      <c r="C80" s="22"/>
      <c r="D80" s="61"/>
      <c r="E80" s="8"/>
      <c r="F80" s="8">
        <v>4809156</v>
      </c>
      <c r="G80" s="8">
        <v>5085682</v>
      </c>
    </row>
    <row r="81" spans="1:7" ht="15.75">
      <c r="A81" s="20" t="s">
        <v>60</v>
      </c>
      <c r="B81" s="10"/>
      <c r="C81" s="15"/>
      <c r="D81" s="14"/>
      <c r="E81" s="10"/>
      <c r="F81" s="10"/>
      <c r="G81" s="10"/>
    </row>
    <row r="82" spans="1:7" ht="18.75">
      <c r="A82" s="17" t="s">
        <v>119</v>
      </c>
      <c r="B82" s="16"/>
      <c r="C82" s="9"/>
      <c r="D82" s="9">
        <v>-40818</v>
      </c>
      <c r="E82" s="10"/>
      <c r="F82" s="10"/>
      <c r="G82" s="10"/>
    </row>
    <row r="83" spans="1:7" ht="15.75">
      <c r="A83" s="17" t="s">
        <v>61</v>
      </c>
      <c r="B83" s="9"/>
      <c r="C83" s="16">
        <v>1363875</v>
      </c>
      <c r="D83" s="9"/>
      <c r="E83" s="10"/>
      <c r="F83" s="10"/>
      <c r="G83" s="10"/>
    </row>
    <row r="84" spans="1:7" ht="15.75">
      <c r="A84" s="66"/>
      <c r="B84" s="73"/>
      <c r="C84" s="74"/>
      <c r="D84" s="14"/>
      <c r="E84" s="10"/>
      <c r="F84" s="10"/>
      <c r="G84" s="10"/>
    </row>
    <row r="85" spans="1:7" ht="15.75">
      <c r="A85" s="75" t="s">
        <v>62</v>
      </c>
      <c r="B85" s="18"/>
      <c r="C85" s="18">
        <f>SUM(C82:C84)</f>
        <v>1363875</v>
      </c>
      <c r="D85" s="18">
        <f>SUM(D82:D84)</f>
        <v>-40818</v>
      </c>
      <c r="E85" s="18"/>
      <c r="F85" s="18"/>
      <c r="G85" s="18"/>
    </row>
    <row r="86" spans="1:7" ht="4.5" customHeight="1">
      <c r="A86" s="75"/>
      <c r="B86" s="18"/>
      <c r="C86" s="18"/>
      <c r="D86" s="18"/>
      <c r="E86" s="18"/>
      <c r="F86" s="18"/>
      <c r="G86" s="18"/>
    </row>
    <row r="87" spans="1:7" ht="15.75">
      <c r="A87" s="76" t="s">
        <v>63</v>
      </c>
      <c r="B87" s="18">
        <f>B5+B17+B79+B85</f>
        <v>6243242.620000005</v>
      </c>
      <c r="C87" s="18">
        <f>C5+C17+C79+C85</f>
        <v>6782787</v>
      </c>
      <c r="D87" s="18">
        <f>D5+D17+D79+D85</f>
        <v>16468610.620000005</v>
      </c>
      <c r="E87" s="18">
        <f>E5+E17+E79+E85</f>
        <v>15998443.396296263</v>
      </c>
      <c r="F87" s="18">
        <f>F5+F17+F79+F85+F80</f>
        <v>20388911.396296263</v>
      </c>
      <c r="G87" s="18">
        <f>G5+G17+G79+G85+G80</f>
        <v>23037344.396296263</v>
      </c>
    </row>
    <row r="88" spans="1:7" ht="15.75">
      <c r="A88" s="20"/>
      <c r="B88" s="11"/>
      <c r="C88" s="77"/>
      <c r="D88" s="19"/>
      <c r="E88" s="11"/>
      <c r="F88" s="11"/>
      <c r="G88" s="11"/>
    </row>
    <row r="89" spans="1:7" ht="15.75">
      <c r="A89" s="68" t="s">
        <v>64</v>
      </c>
      <c r="B89" s="10"/>
      <c r="C89" s="14"/>
      <c r="D89" s="10"/>
      <c r="E89" s="9"/>
      <c r="F89" s="9"/>
      <c r="G89" s="9"/>
    </row>
    <row r="90" spans="1:7" ht="15.75">
      <c r="A90" s="78"/>
      <c r="B90" s="10"/>
      <c r="C90" s="14"/>
      <c r="D90" s="10"/>
      <c r="E90" s="9"/>
      <c r="F90" s="9"/>
      <c r="G90" s="9"/>
    </row>
    <row r="91" spans="1:7" ht="15.75">
      <c r="A91" s="17" t="s">
        <v>65</v>
      </c>
      <c r="B91" s="9">
        <v>-2331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</row>
    <row r="92" spans="1:7" ht="15.75">
      <c r="A92" s="17" t="s">
        <v>66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</row>
    <row r="93" spans="1:7" ht="15.75">
      <c r="A93" s="17"/>
      <c r="B93" s="9"/>
      <c r="C93" s="9"/>
      <c r="D93" s="9"/>
      <c r="E93" s="9"/>
      <c r="F93" s="9"/>
      <c r="G93" s="9"/>
    </row>
    <row r="94" spans="1:7" ht="15.75">
      <c r="A94" s="20" t="s">
        <v>67</v>
      </c>
      <c r="B94" s="9"/>
      <c r="C94" s="9"/>
      <c r="D94" s="9"/>
      <c r="E94" s="9"/>
      <c r="F94" s="9"/>
      <c r="G94" s="9"/>
    </row>
    <row r="95" spans="1:7" ht="15.75">
      <c r="A95" s="21" t="s">
        <v>68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</row>
    <row r="96" spans="1:7" ht="15.75">
      <c r="A96" s="21" t="s">
        <v>135</v>
      </c>
      <c r="B96" s="9">
        <f>-1713719</f>
        <v>-1713719</v>
      </c>
      <c r="C96" s="9">
        <v>-327114</v>
      </c>
      <c r="D96" s="9">
        <f>-1259246</f>
        <v>-1259246</v>
      </c>
      <c r="E96" s="9">
        <v>-540983</v>
      </c>
      <c r="F96" s="9">
        <v>-300448</v>
      </c>
      <c r="G96" s="9">
        <v>-40621</v>
      </c>
    </row>
    <row r="97" spans="1:7" ht="15.75">
      <c r="A97" s="21" t="s">
        <v>143</v>
      </c>
      <c r="B97" s="9">
        <v>-892773</v>
      </c>
      <c r="C97" s="9">
        <v>0</v>
      </c>
      <c r="D97" s="9">
        <v>-839773</v>
      </c>
      <c r="E97" s="9">
        <v>-689773</v>
      </c>
      <c r="F97" s="9">
        <v>-689773</v>
      </c>
      <c r="G97" s="9">
        <v>-689773</v>
      </c>
    </row>
    <row r="98" spans="1:7" ht="15.75">
      <c r="A98" s="21" t="s">
        <v>134</v>
      </c>
      <c r="B98" s="9">
        <v>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</row>
    <row r="99" spans="1:7" ht="15.75">
      <c r="A99" s="17"/>
      <c r="B99" s="9"/>
      <c r="C99" s="9"/>
      <c r="D99" s="9"/>
      <c r="E99" s="9"/>
      <c r="F99" s="9"/>
      <c r="G99" s="9"/>
    </row>
    <row r="100" spans="1:7" ht="15.75">
      <c r="A100" s="20" t="s">
        <v>69</v>
      </c>
      <c r="B100" s="9"/>
      <c r="C100" s="9"/>
      <c r="D100" s="9"/>
      <c r="E100" s="9"/>
      <c r="F100" s="9"/>
      <c r="G100" s="9"/>
    </row>
    <row r="101" spans="1:7" ht="18.75">
      <c r="A101" s="21" t="s">
        <v>120</v>
      </c>
      <c r="B101" s="9">
        <v>0</v>
      </c>
      <c r="C101" s="9">
        <f>-756000</f>
        <v>-756000</v>
      </c>
      <c r="D101" s="9">
        <f>-756000</f>
        <v>-756000</v>
      </c>
      <c r="E101" s="9">
        <v>-1512000</v>
      </c>
      <c r="F101" s="9">
        <v>-2457000</v>
      </c>
      <c r="G101" s="9">
        <v>-2897541</v>
      </c>
    </row>
    <row r="102" spans="1:7" ht="15.75">
      <c r="A102" s="21" t="s">
        <v>70</v>
      </c>
      <c r="B102" s="9">
        <v>0</v>
      </c>
      <c r="C102" s="9">
        <v>-230000</v>
      </c>
      <c r="D102" s="9">
        <v>-230000</v>
      </c>
      <c r="E102" s="9">
        <v>-506000</v>
      </c>
      <c r="F102" s="9">
        <v>-828000</v>
      </c>
      <c r="G102" s="9">
        <v>-1097000</v>
      </c>
    </row>
    <row r="103" spans="1:7" ht="15.75">
      <c r="A103" s="21" t="s">
        <v>71</v>
      </c>
      <c r="B103" s="9">
        <v>0</v>
      </c>
      <c r="C103" s="9">
        <v>-244000</v>
      </c>
      <c r="D103" s="9">
        <v>-244000</v>
      </c>
      <c r="E103" s="9">
        <v>-488000</v>
      </c>
      <c r="F103" s="9">
        <v>-732000</v>
      </c>
      <c r="G103" s="9">
        <v>-1159800</v>
      </c>
    </row>
    <row r="104" spans="1:7" ht="15.75">
      <c r="A104" s="17"/>
      <c r="B104" s="9"/>
      <c r="C104" s="9"/>
      <c r="D104" s="9"/>
      <c r="E104" s="9"/>
      <c r="F104" s="9"/>
      <c r="G104" s="9"/>
    </row>
    <row r="105" spans="1:7" ht="15.75">
      <c r="A105" s="20" t="s">
        <v>72</v>
      </c>
      <c r="B105" s="9"/>
      <c r="C105" s="9"/>
      <c r="D105" s="9"/>
      <c r="E105" s="9"/>
      <c r="F105" s="9"/>
      <c r="G105" s="9"/>
    </row>
    <row r="106" spans="1:7" ht="18.75">
      <c r="A106" s="21" t="s">
        <v>121</v>
      </c>
      <c r="B106" s="9"/>
      <c r="C106" s="9">
        <v>-375000</v>
      </c>
      <c r="D106" s="9">
        <v>-375000</v>
      </c>
      <c r="E106" s="9">
        <f>-375000+201751</f>
        <v>-173249</v>
      </c>
      <c r="F106" s="9">
        <f>-562500+201751</f>
        <v>-360749</v>
      </c>
      <c r="G106" s="9">
        <f>-562500+201751</f>
        <v>-360749</v>
      </c>
    </row>
    <row r="107" spans="1:7" ht="15.75">
      <c r="A107" s="21" t="s">
        <v>73</v>
      </c>
      <c r="B107" s="9"/>
      <c r="C107" s="9"/>
      <c r="D107" s="9"/>
      <c r="E107" s="9">
        <v>-565000</v>
      </c>
      <c r="F107" s="9">
        <v>-565000</v>
      </c>
      <c r="G107" s="9">
        <v>-565000</v>
      </c>
    </row>
    <row r="108" spans="1:7" ht="15.75">
      <c r="A108" s="21" t="s">
        <v>74</v>
      </c>
      <c r="B108" s="9"/>
      <c r="C108" s="9"/>
      <c r="D108" s="9"/>
      <c r="E108" s="9">
        <v>0</v>
      </c>
      <c r="F108" s="9">
        <v>-1000000</v>
      </c>
      <c r="G108" s="9">
        <v>-1500000</v>
      </c>
    </row>
    <row r="109" spans="1:7" ht="15.75">
      <c r="A109" s="66"/>
      <c r="B109" s="25"/>
      <c r="C109" s="15"/>
      <c r="D109" s="10"/>
      <c r="E109" s="9"/>
      <c r="F109" s="9"/>
      <c r="G109" s="9"/>
    </row>
    <row r="110" spans="1:7" ht="15.75">
      <c r="A110" s="67" t="s">
        <v>75</v>
      </c>
      <c r="B110" s="70">
        <f aca="true" t="shared" si="2" ref="B110:G110">SUM(B91:B109)</f>
        <v>-2608823</v>
      </c>
      <c r="C110" s="70">
        <f t="shared" si="2"/>
        <v>-1932114</v>
      </c>
      <c r="D110" s="70">
        <f t="shared" si="2"/>
        <v>-3704019</v>
      </c>
      <c r="E110" s="70">
        <f t="shared" si="2"/>
        <v>-4475005</v>
      </c>
      <c r="F110" s="70">
        <f t="shared" si="2"/>
        <v>-6932970</v>
      </c>
      <c r="G110" s="8">
        <f t="shared" si="2"/>
        <v>-8310484</v>
      </c>
    </row>
    <row r="111" spans="1:7" ht="15.75">
      <c r="A111" s="72"/>
      <c r="B111" s="22"/>
      <c r="C111" s="22"/>
      <c r="D111" s="22"/>
      <c r="E111" s="23"/>
      <c r="F111" s="23"/>
      <c r="G111" s="24"/>
    </row>
    <row r="112" spans="1:7" ht="15.75">
      <c r="A112" s="76" t="s">
        <v>76</v>
      </c>
      <c r="B112" s="18">
        <f aca="true" t="shared" si="3" ref="B112:G112">+B87+B110</f>
        <v>3634419.620000005</v>
      </c>
      <c r="C112" s="18">
        <f t="shared" si="3"/>
        <v>4850673</v>
      </c>
      <c r="D112" s="18">
        <f t="shared" si="3"/>
        <v>12764591.620000005</v>
      </c>
      <c r="E112" s="79">
        <f t="shared" si="3"/>
        <v>11523438.396296263</v>
      </c>
      <c r="F112" s="79">
        <f t="shared" si="3"/>
        <v>13455941.396296263</v>
      </c>
      <c r="G112" s="79">
        <f t="shared" si="3"/>
        <v>14726860.396296263</v>
      </c>
    </row>
    <row r="113" spans="1:7" ht="15.75">
      <c r="A113" s="20"/>
      <c r="B113" s="74"/>
      <c r="C113" s="74"/>
      <c r="D113" s="80"/>
      <c r="E113" s="74"/>
      <c r="F113" s="74"/>
      <c r="G113" s="73"/>
    </row>
    <row r="114" spans="1:7" ht="15.75">
      <c r="A114" s="72" t="s">
        <v>77</v>
      </c>
      <c r="B114" s="26" t="s">
        <v>78</v>
      </c>
      <c r="C114" s="81">
        <f>C112/C17</f>
        <v>0.07858680479910499</v>
      </c>
      <c r="D114" s="81">
        <f>D112/D17</f>
        <v>0.1930300482469582</v>
      </c>
      <c r="E114" s="81">
        <f>E112/E17</f>
        <v>0.1693009805433995</v>
      </c>
      <c r="F114" s="81">
        <f>F112/F17</f>
        <v>0.1939195577112617</v>
      </c>
      <c r="G114" s="81">
        <f>G112/G17</f>
        <v>0.20789973392613995</v>
      </c>
    </row>
    <row r="115" spans="1:7" s="62" customFormat="1" ht="15.75">
      <c r="A115" s="17"/>
      <c r="B115" s="15"/>
      <c r="C115" s="15"/>
      <c r="D115" s="22"/>
      <c r="E115" s="15"/>
      <c r="F115" s="15"/>
      <c r="G115" s="25"/>
    </row>
    <row r="116" spans="1:7" s="82" customFormat="1" ht="15.75">
      <c r="A116" s="72" t="s">
        <v>79</v>
      </c>
      <c r="B116" s="26" t="s">
        <v>78</v>
      </c>
      <c r="C116" s="26">
        <f>C112-(C17*0.06)</f>
        <v>1147247.46</v>
      </c>
      <c r="D116" s="26">
        <f>D112-(D17*0.06)</f>
        <v>8796942.520000005</v>
      </c>
      <c r="E116" s="26">
        <f>E112-(E17*0.06)</f>
        <v>7439550.036296263</v>
      </c>
      <c r="F116" s="26">
        <f>F112-(F17*0.06)</f>
        <v>9292583.696296263</v>
      </c>
      <c r="G116" s="26">
        <f>G112-(G17*0.06)</f>
        <v>10476678.796296263</v>
      </c>
    </row>
    <row r="117" spans="1:7" ht="15.75">
      <c r="A117" s="83"/>
      <c r="B117" s="29"/>
      <c r="C117" s="29"/>
      <c r="D117" s="28"/>
      <c r="E117" s="28"/>
      <c r="F117" s="29"/>
      <c r="G117" s="29"/>
    </row>
    <row r="118" spans="1:7" ht="15.75">
      <c r="A118" s="84" t="s">
        <v>80</v>
      </c>
      <c r="B118" s="29"/>
      <c r="C118" s="29"/>
      <c r="D118" s="29"/>
      <c r="E118" s="29"/>
      <c r="F118" s="29"/>
      <c r="G118" s="29"/>
    </row>
    <row r="119" spans="1:7" ht="18.75">
      <c r="A119" s="85" t="s">
        <v>122</v>
      </c>
      <c r="B119" s="31"/>
      <c r="C119" s="31"/>
      <c r="D119" s="30"/>
      <c r="E119" s="31"/>
      <c r="F119" s="30"/>
      <c r="G119" s="30"/>
    </row>
    <row r="120" spans="1:7" ht="18.75" customHeight="1">
      <c r="A120" s="86" t="s">
        <v>131</v>
      </c>
      <c r="B120" s="31"/>
      <c r="C120" s="31"/>
      <c r="D120" s="30"/>
      <c r="E120" s="31"/>
      <c r="F120" s="31"/>
      <c r="G120" s="29"/>
    </row>
    <row r="121" spans="1:7" ht="18.75">
      <c r="A121" s="86" t="s">
        <v>123</v>
      </c>
      <c r="B121" s="86"/>
      <c r="C121" s="33"/>
      <c r="D121" s="32"/>
      <c r="E121" s="33"/>
      <c r="F121" s="34"/>
      <c r="G121" s="35"/>
    </row>
    <row r="122" spans="1:7" ht="18.75">
      <c r="A122" s="87" t="s">
        <v>124</v>
      </c>
      <c r="B122" s="88"/>
      <c r="C122" s="88"/>
      <c r="D122" s="36"/>
      <c r="E122" s="34"/>
      <c r="G122" s="35"/>
    </row>
    <row r="123" spans="1:7" ht="32.25" customHeight="1">
      <c r="A123" s="106" t="s">
        <v>125</v>
      </c>
      <c r="B123" s="106"/>
      <c r="C123" s="106"/>
      <c r="D123" s="106"/>
      <c r="E123" s="106"/>
      <c r="F123" s="106"/>
      <c r="G123" s="106"/>
    </row>
    <row r="124" spans="1:7" ht="18.75">
      <c r="A124" s="87" t="s">
        <v>126</v>
      </c>
      <c r="B124" s="89"/>
      <c r="C124" s="89"/>
      <c r="D124" s="89"/>
      <c r="E124" s="89"/>
      <c r="F124" s="89"/>
      <c r="G124" s="89"/>
    </row>
    <row r="125" spans="1:7" ht="18.75">
      <c r="A125" s="86" t="s">
        <v>133</v>
      </c>
      <c r="B125" s="86"/>
      <c r="C125" s="33"/>
      <c r="D125" s="32"/>
      <c r="E125" s="33"/>
      <c r="F125" s="34"/>
      <c r="G125" s="35"/>
    </row>
    <row r="126" ht="18.75">
      <c r="A126" s="87" t="s">
        <v>144</v>
      </c>
    </row>
    <row r="127" ht="15.75">
      <c r="A127" s="62" t="s">
        <v>142</v>
      </c>
    </row>
    <row r="128" ht="15.75">
      <c r="A128" s="62" t="s">
        <v>145</v>
      </c>
    </row>
    <row r="129" ht="15.75">
      <c r="A129" s="62" t="s">
        <v>138</v>
      </c>
    </row>
    <row r="130" ht="15.75">
      <c r="A130" s="62" t="s">
        <v>139</v>
      </c>
    </row>
    <row r="131" ht="15.75">
      <c r="A131" s="62" t="s">
        <v>140</v>
      </c>
    </row>
    <row r="132" ht="15.75">
      <c r="A132" s="62" t="s">
        <v>141</v>
      </c>
    </row>
    <row r="133" ht="15.75">
      <c r="A133" s="62" t="s">
        <v>146</v>
      </c>
    </row>
    <row r="134" ht="15.75">
      <c r="A134" s="62"/>
    </row>
    <row r="135" ht="18.75">
      <c r="A135" s="87"/>
    </row>
    <row r="136" ht="15.75">
      <c r="A136" s="82" t="s">
        <v>81</v>
      </c>
    </row>
    <row r="137" spans="1:7" ht="15.75">
      <c r="A137" s="91"/>
      <c r="B137" s="92"/>
      <c r="C137" s="39" t="s">
        <v>82</v>
      </c>
      <c r="D137" s="39" t="s">
        <v>83</v>
      </c>
      <c r="E137" s="39">
        <v>2009</v>
      </c>
      <c r="F137" s="39">
        <v>2010</v>
      </c>
      <c r="G137" s="39">
        <v>2011</v>
      </c>
    </row>
    <row r="138" spans="1:7" ht="15.75">
      <c r="A138" s="93" t="s">
        <v>84</v>
      </c>
      <c r="B138" s="94"/>
      <c r="C138" s="40">
        <v>0.037</v>
      </c>
      <c r="D138" s="40">
        <v>0.0388</v>
      </c>
      <c r="E138" s="40">
        <v>0.05</v>
      </c>
      <c r="F138" s="40">
        <v>0.028</v>
      </c>
      <c r="G138" s="40">
        <v>0.03</v>
      </c>
    </row>
    <row r="139" spans="1:7" ht="15.75">
      <c r="A139" s="93" t="s">
        <v>85</v>
      </c>
      <c r="B139" s="94"/>
      <c r="C139" s="40">
        <v>0.11</v>
      </c>
      <c r="D139" s="40">
        <v>0.0397</v>
      </c>
      <c r="E139" s="40">
        <v>0.0646</v>
      </c>
      <c r="F139" s="40">
        <v>0.11</v>
      </c>
      <c r="G139" s="40">
        <v>0.11</v>
      </c>
    </row>
    <row r="140" spans="1:7" ht="15.75">
      <c r="A140" s="93" t="s">
        <v>86</v>
      </c>
      <c r="B140" s="94"/>
      <c r="C140" s="40">
        <v>0.0664</v>
      </c>
      <c r="D140" s="40">
        <v>0.0722</v>
      </c>
      <c r="E140" s="40">
        <v>0.0812</v>
      </c>
      <c r="F140" s="40">
        <v>0.0869</v>
      </c>
      <c r="G140" s="40">
        <v>0.0871</v>
      </c>
    </row>
    <row r="141" spans="1:7" ht="15.75">
      <c r="A141" s="93" t="s">
        <v>87</v>
      </c>
      <c r="B141" s="94"/>
      <c r="C141" s="40">
        <v>0.0546</v>
      </c>
      <c r="D141" s="40">
        <v>0.0541</v>
      </c>
      <c r="E141" s="40">
        <v>0.0532</v>
      </c>
      <c r="F141" s="40">
        <v>0.0532</v>
      </c>
      <c r="G141" s="40">
        <v>0.0532</v>
      </c>
    </row>
    <row r="142" spans="1:7" ht="15.75">
      <c r="A142" s="93" t="s">
        <v>88</v>
      </c>
      <c r="B142" s="94"/>
      <c r="C142" s="40">
        <v>0.965</v>
      </c>
      <c r="D142" s="40">
        <v>0.965</v>
      </c>
      <c r="E142" s="40">
        <v>0.965</v>
      </c>
      <c r="F142" s="40">
        <v>0.965</v>
      </c>
      <c r="G142" s="40">
        <v>0.965</v>
      </c>
    </row>
    <row r="143" spans="1:7" ht="15.75">
      <c r="A143" s="93" t="s">
        <v>89</v>
      </c>
      <c r="B143" s="94"/>
      <c r="C143" s="40">
        <v>0.078</v>
      </c>
      <c r="D143" s="40">
        <v>0.0517</v>
      </c>
      <c r="E143" s="40">
        <v>0.149</v>
      </c>
      <c r="F143" s="40">
        <v>0.02</v>
      </c>
      <c r="G143" s="40">
        <v>0.058</v>
      </c>
    </row>
    <row r="144" spans="1:7" ht="15.75">
      <c r="A144" s="95" t="s">
        <v>90</v>
      </c>
      <c r="B144" s="96"/>
      <c r="C144" s="41">
        <v>0.125</v>
      </c>
      <c r="D144" s="41">
        <v>0.046</v>
      </c>
      <c r="E144" s="41">
        <v>0.08</v>
      </c>
      <c r="F144" s="41">
        <v>0.118</v>
      </c>
      <c r="G144" s="41">
        <v>0.118</v>
      </c>
    </row>
    <row r="145" ht="18.75">
      <c r="A145" s="87"/>
    </row>
  </sheetData>
  <mergeCells count="3">
    <mergeCell ref="A1:G1"/>
    <mergeCell ref="A2:G2"/>
    <mergeCell ref="A123:G123"/>
  </mergeCells>
  <printOptions horizontalCentered="1"/>
  <pageMargins left="0.25" right="0.25" top="0.26" bottom="0.2" header="0.2" footer="0.17"/>
  <pageSetup fitToHeight="0" horizontalDpi="600" verticalDpi="600" orientation="portrait" scale="65" r:id="rId3"/>
  <headerFooter alignWithMargins="0">
    <oddHeader>&amp;R&amp;"Arial,Bold"&amp;14ATTACHMENT I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52"/>
  <sheetViews>
    <sheetView zoomScale="90" zoomScaleNormal="90" workbookViewId="0" topLeftCell="A1">
      <selection activeCell="A4" sqref="A4:G4"/>
    </sheetView>
  </sheetViews>
  <sheetFormatPr defaultColWidth="9.140625" defaultRowHeight="12.75"/>
  <cols>
    <col min="1" max="1" width="47.00390625" style="50" customWidth="1"/>
    <col min="2" max="3" width="17.28125" style="37" customWidth="1"/>
    <col min="4" max="5" width="17.28125" style="38" customWidth="1"/>
    <col min="6" max="7" width="17.28125" style="36" customWidth="1"/>
    <col min="8" max="16384" width="8.8515625" style="2" customWidth="1"/>
  </cols>
  <sheetData>
    <row r="1" spans="1:7" ht="15.75">
      <c r="A1" s="108" t="s">
        <v>147</v>
      </c>
      <c r="B1" s="109"/>
      <c r="C1" s="109"/>
      <c r="D1" s="109"/>
      <c r="E1" s="109"/>
      <c r="F1" s="109"/>
      <c r="G1" s="109"/>
    </row>
    <row r="2" spans="1:7" ht="15.75">
      <c r="A2" s="100"/>
      <c r="B2" s="101"/>
      <c r="C2" s="101"/>
      <c r="D2" s="101"/>
      <c r="E2" s="101"/>
      <c r="F2" s="101"/>
      <c r="G2" s="101"/>
    </row>
    <row r="3" spans="1:7" ht="15.75">
      <c r="A3" s="100"/>
      <c r="B3" s="101"/>
      <c r="C3" s="101"/>
      <c r="D3" s="101"/>
      <c r="E3" s="101"/>
      <c r="F3" s="101"/>
      <c r="G3" s="101"/>
    </row>
    <row r="4" spans="1:7" ht="15.75">
      <c r="A4" s="107" t="s">
        <v>91</v>
      </c>
      <c r="B4" s="107"/>
      <c r="C4" s="107"/>
      <c r="D4" s="107"/>
      <c r="E4" s="107"/>
      <c r="F4" s="107"/>
      <c r="G4" s="107"/>
    </row>
    <row r="5" spans="1:7" ht="15.75">
      <c r="A5" s="107" t="s">
        <v>92</v>
      </c>
      <c r="B5" s="107"/>
      <c r="C5" s="107"/>
      <c r="D5" s="107"/>
      <c r="E5" s="107"/>
      <c r="F5" s="107"/>
      <c r="G5" s="107"/>
    </row>
    <row r="6" spans="1:7" ht="16.5" thickBot="1">
      <c r="A6" s="1"/>
      <c r="B6" s="1"/>
      <c r="C6" s="1"/>
      <c r="D6" s="1"/>
      <c r="E6" s="1"/>
      <c r="F6" s="1"/>
      <c r="G6" s="1"/>
    </row>
    <row r="7" spans="1:7" ht="15.75">
      <c r="A7" s="42" t="s">
        <v>93</v>
      </c>
      <c r="B7" s="43"/>
      <c r="C7" s="43"/>
      <c r="D7" s="43"/>
      <c r="E7" s="43"/>
      <c r="F7" s="43"/>
      <c r="G7" s="43"/>
    </row>
    <row r="8" spans="1:7" ht="31.5" customHeight="1">
      <c r="A8" s="44" t="s">
        <v>94</v>
      </c>
      <c r="B8" s="2"/>
      <c r="C8" s="2"/>
      <c r="D8" s="2"/>
      <c r="E8" s="2"/>
      <c r="F8" s="2"/>
      <c r="G8" s="2"/>
    </row>
    <row r="9" spans="1:7" ht="15.75">
      <c r="A9" s="44" t="s">
        <v>95</v>
      </c>
      <c r="B9" s="2"/>
      <c r="C9" s="2"/>
      <c r="D9" s="2"/>
      <c r="E9" s="2"/>
      <c r="F9" s="2"/>
      <c r="G9" s="2"/>
    </row>
    <row r="10" spans="1:7" ht="15.75">
      <c r="A10" s="2"/>
      <c r="B10" s="27">
        <v>2006</v>
      </c>
      <c r="C10" s="27">
        <v>2007</v>
      </c>
      <c r="D10" s="27">
        <v>2008</v>
      </c>
      <c r="E10" s="27">
        <v>2009</v>
      </c>
      <c r="F10" s="27">
        <v>2010</v>
      </c>
      <c r="G10" s="27">
        <v>2011</v>
      </c>
    </row>
    <row r="11" spans="1:7" ht="15.75">
      <c r="A11" s="45" t="s">
        <v>96</v>
      </c>
      <c r="B11" s="46"/>
      <c r="C11" s="47">
        <v>0.0388</v>
      </c>
      <c r="D11" s="47">
        <v>0.05</v>
      </c>
      <c r="E11" s="47">
        <v>0.028</v>
      </c>
      <c r="F11" s="47">
        <v>0.03</v>
      </c>
      <c r="G11" s="47">
        <v>0.03</v>
      </c>
    </row>
    <row r="12" spans="1:7" ht="15.75">
      <c r="A12" s="44" t="s">
        <v>97</v>
      </c>
      <c r="B12" s="48">
        <v>0.0369</v>
      </c>
      <c r="C12" s="49">
        <v>0.037</v>
      </c>
      <c r="D12" s="49">
        <v>0.0345</v>
      </c>
      <c r="E12" s="49">
        <v>0.03</v>
      </c>
      <c r="F12" s="49">
        <v>0.0264</v>
      </c>
      <c r="G12" s="49">
        <v>0.027000000000000003</v>
      </c>
    </row>
    <row r="13" spans="1:7" ht="15.75">
      <c r="A13" s="44" t="s">
        <v>98</v>
      </c>
      <c r="B13" s="50" t="s">
        <v>78</v>
      </c>
      <c r="C13" s="48">
        <f>C12+0.01</f>
        <v>0.047</v>
      </c>
      <c r="D13" s="48">
        <f>D12+0.01</f>
        <v>0.044500000000000005</v>
      </c>
      <c r="E13" s="48">
        <f>E12+0.01</f>
        <v>0.04</v>
      </c>
      <c r="F13" s="48">
        <f>F12+0.01</f>
        <v>0.0364</v>
      </c>
      <c r="G13" s="48">
        <f>G12+0.01</f>
        <v>0.037000000000000005</v>
      </c>
    </row>
    <row r="14" spans="1:7" ht="15.75">
      <c r="A14" s="44" t="s">
        <v>99</v>
      </c>
      <c r="B14" s="50" t="s">
        <v>78</v>
      </c>
      <c r="C14" s="48">
        <f>C13</f>
        <v>0.047</v>
      </c>
      <c r="D14" s="48">
        <f>C12+D12+0.01</f>
        <v>0.0815</v>
      </c>
      <c r="E14" s="48">
        <f>D14+E12</f>
        <v>0.1115</v>
      </c>
      <c r="F14" s="48">
        <f>E14+F12</f>
        <v>0.1379</v>
      </c>
      <c r="G14" s="48">
        <f>F14+G12</f>
        <v>0.1649</v>
      </c>
    </row>
    <row r="15" spans="1:7" ht="15.75">
      <c r="A15" s="2"/>
      <c r="B15" s="2"/>
      <c r="C15" s="2"/>
      <c r="D15" s="2"/>
      <c r="E15" s="2"/>
      <c r="F15" s="2"/>
      <c r="G15" s="2"/>
    </row>
    <row r="16" spans="1:7" ht="16.5" thickBot="1">
      <c r="A16" s="51"/>
      <c r="B16" s="2"/>
      <c r="C16" s="2"/>
      <c r="D16" s="2"/>
      <c r="E16" s="2"/>
      <c r="F16" s="2"/>
      <c r="G16" s="2"/>
    </row>
    <row r="17" spans="1:7" ht="15.75">
      <c r="A17" s="42" t="s">
        <v>100</v>
      </c>
      <c r="B17" s="43"/>
      <c r="C17" s="43"/>
      <c r="D17" s="43"/>
      <c r="E17" s="43"/>
      <c r="F17" s="43"/>
      <c r="G17" s="43"/>
    </row>
    <row r="18" spans="1:7" ht="15.75">
      <c r="A18" s="44" t="s">
        <v>101</v>
      </c>
      <c r="B18" s="2"/>
      <c r="C18" s="2"/>
      <c r="D18" s="2"/>
      <c r="E18" s="2"/>
      <c r="F18" s="2"/>
      <c r="G18" s="2"/>
    </row>
    <row r="19" spans="1:7" ht="15.75">
      <c r="A19" s="44" t="s">
        <v>102</v>
      </c>
      <c r="B19" s="2"/>
      <c r="C19" s="2"/>
      <c r="D19" s="2"/>
      <c r="E19" s="2"/>
      <c r="F19" s="2"/>
      <c r="G19" s="2"/>
    </row>
    <row r="20" spans="1:7" ht="15.75">
      <c r="A20" s="2"/>
      <c r="B20" s="27">
        <v>2006</v>
      </c>
      <c r="C20" s="27">
        <v>2007</v>
      </c>
      <c r="D20" s="27">
        <v>2008</v>
      </c>
      <c r="E20" s="27">
        <v>2009</v>
      </c>
      <c r="F20" s="27">
        <v>2010</v>
      </c>
      <c r="G20" s="27">
        <v>2011</v>
      </c>
    </row>
    <row r="21" spans="1:7" ht="15.75">
      <c r="A21" s="45" t="s">
        <v>96</v>
      </c>
      <c r="B21" s="52"/>
      <c r="C21" s="52">
        <v>2.54</v>
      </c>
      <c r="D21" s="52">
        <v>3.9</v>
      </c>
      <c r="E21" s="52">
        <v>4.1</v>
      </c>
      <c r="F21" s="52">
        <v>4.4</v>
      </c>
      <c r="G21" s="52">
        <v>4.7</v>
      </c>
    </row>
    <row r="22" spans="1:7" ht="15.75">
      <c r="A22" s="44" t="s">
        <v>97</v>
      </c>
      <c r="B22" s="53">
        <v>2.38</v>
      </c>
      <c r="C22" s="53">
        <v>2.5442199999999997</v>
      </c>
      <c r="D22" s="53">
        <v>2.69178476</v>
      </c>
      <c r="E22" s="53">
        <v>2.84790827608</v>
      </c>
      <c r="F22" s="53">
        <v>3.01308695609264</v>
      </c>
      <c r="G22" s="53">
        <v>3.1878459995460133</v>
      </c>
    </row>
    <row r="23" spans="1:7" ht="15.75">
      <c r="A23" s="44" t="s">
        <v>103</v>
      </c>
      <c r="B23" s="50" t="s">
        <v>78</v>
      </c>
      <c r="C23" s="49">
        <v>0.069</v>
      </c>
      <c r="D23" s="49">
        <v>0.058</v>
      </c>
      <c r="E23" s="49">
        <v>0.058</v>
      </c>
      <c r="F23" s="49">
        <v>0.058</v>
      </c>
      <c r="G23" s="49">
        <v>0.058</v>
      </c>
    </row>
    <row r="24" spans="1:7" ht="15.75">
      <c r="A24" s="44" t="s">
        <v>104</v>
      </c>
      <c r="B24" s="50" t="s">
        <v>78</v>
      </c>
      <c r="C24" s="53">
        <f>B22*0.01+C22</f>
        <v>2.5680199999999997</v>
      </c>
      <c r="D24" s="53">
        <f>C22*0.01+D22</f>
        <v>2.71722696</v>
      </c>
      <c r="E24" s="53">
        <f>D22*0.01+E22</f>
        <v>2.87482612368</v>
      </c>
      <c r="F24" s="53">
        <f>E22*0.01+F22</f>
        <v>3.04156603885344</v>
      </c>
      <c r="G24" s="53">
        <f>F22*0.01+G22</f>
        <v>3.21797686910694</v>
      </c>
    </row>
    <row r="25" spans="1:7" ht="15.75">
      <c r="A25" s="2"/>
      <c r="B25" s="2"/>
      <c r="C25" s="2"/>
      <c r="D25" s="2"/>
      <c r="E25" s="2"/>
      <c r="F25" s="2"/>
      <c r="G25" s="2"/>
    </row>
    <row r="26" spans="1:7" ht="16.5" thickBot="1">
      <c r="A26" s="51"/>
      <c r="B26" s="2"/>
      <c r="C26" s="2"/>
      <c r="D26" s="2"/>
      <c r="E26" s="2"/>
      <c r="F26" s="2"/>
      <c r="G26" s="2"/>
    </row>
    <row r="27" spans="1:7" ht="15.75">
      <c r="A27" s="42" t="s">
        <v>105</v>
      </c>
      <c r="B27" s="43"/>
      <c r="C27" s="43"/>
      <c r="D27" s="43"/>
      <c r="E27" s="43"/>
      <c r="F27" s="43"/>
      <c r="G27" s="43"/>
    </row>
    <row r="28" spans="1:7" ht="15.75">
      <c r="A28" s="44" t="s">
        <v>106</v>
      </c>
      <c r="B28" s="2"/>
      <c r="C28" s="2"/>
      <c r="D28" s="2"/>
      <c r="E28" s="2"/>
      <c r="F28" s="2"/>
      <c r="G28" s="2"/>
    </row>
    <row r="29" spans="1:7" ht="15.75">
      <c r="A29" s="44" t="s">
        <v>107</v>
      </c>
      <c r="B29" s="2"/>
      <c r="C29" s="2"/>
      <c r="D29" s="2"/>
      <c r="E29" s="2"/>
      <c r="F29" s="2"/>
      <c r="G29" s="2"/>
    </row>
    <row r="30" spans="1:7" ht="15.75">
      <c r="A30" s="2"/>
      <c r="B30" s="27">
        <v>2006</v>
      </c>
      <c r="C30" s="27">
        <v>2007</v>
      </c>
      <c r="D30" s="27">
        <v>2008</v>
      </c>
      <c r="E30" s="27">
        <v>2009</v>
      </c>
      <c r="F30" s="27">
        <v>2010</v>
      </c>
      <c r="G30" s="27">
        <v>2011</v>
      </c>
    </row>
    <row r="31" spans="1:7" ht="15.75">
      <c r="A31" s="45" t="s">
        <v>96</v>
      </c>
      <c r="B31" s="54"/>
      <c r="C31" s="47">
        <v>0.046</v>
      </c>
      <c r="D31" s="55">
        <v>0.08</v>
      </c>
      <c r="E31" s="55">
        <v>0.118</v>
      </c>
      <c r="F31" s="55">
        <v>0.118</v>
      </c>
      <c r="G31" s="55">
        <v>0.118</v>
      </c>
    </row>
    <row r="32" spans="1:7" ht="15.75">
      <c r="A32" s="44" t="s">
        <v>97</v>
      </c>
      <c r="B32" s="48">
        <v>0.1464</v>
      </c>
      <c r="C32" s="49">
        <v>0.125</v>
      </c>
      <c r="D32" s="49">
        <v>0.118</v>
      </c>
      <c r="E32" s="49">
        <v>0.118</v>
      </c>
      <c r="F32" s="49">
        <v>0.118</v>
      </c>
      <c r="G32" s="49">
        <v>0.118</v>
      </c>
    </row>
    <row r="33" spans="1:7" ht="15.75">
      <c r="A33" s="44" t="s">
        <v>103</v>
      </c>
      <c r="B33" s="50" t="s">
        <v>78</v>
      </c>
      <c r="C33" s="48">
        <f>C32+0.01</f>
        <v>0.135</v>
      </c>
      <c r="D33" s="48">
        <f>D32+0.01</f>
        <v>0.128</v>
      </c>
      <c r="E33" s="48">
        <f>E32+0.01</f>
        <v>0.128</v>
      </c>
      <c r="F33" s="48">
        <f>F32+0.01</f>
        <v>0.128</v>
      </c>
      <c r="G33" s="48">
        <f>G32+0.01</f>
        <v>0.128</v>
      </c>
    </row>
    <row r="34" spans="1:7" ht="15.75">
      <c r="A34" s="44" t="s">
        <v>104</v>
      </c>
      <c r="B34" s="50" t="s">
        <v>78</v>
      </c>
      <c r="C34" s="48">
        <f>C33</f>
        <v>0.135</v>
      </c>
      <c r="D34" s="48">
        <f>C34+D32</f>
        <v>0.253</v>
      </c>
      <c r="E34" s="48">
        <f>D34+E32</f>
        <v>0.371</v>
      </c>
      <c r="F34" s="48">
        <f>E34+F32</f>
        <v>0.489</v>
      </c>
      <c r="G34" s="48">
        <f>F34+G32</f>
        <v>0.607</v>
      </c>
    </row>
    <row r="35" spans="1:7" ht="15.75">
      <c r="A35" s="2"/>
      <c r="B35" s="2"/>
      <c r="C35" s="2"/>
      <c r="D35" s="2"/>
      <c r="E35" s="2"/>
      <c r="F35" s="2"/>
      <c r="G35" s="2"/>
    </row>
    <row r="36" spans="1:7" ht="16.5" thickBot="1">
      <c r="A36" s="51"/>
      <c r="B36" s="2"/>
      <c r="C36" s="2"/>
      <c r="D36" s="2"/>
      <c r="E36" s="2"/>
      <c r="F36" s="2"/>
      <c r="G36" s="2"/>
    </row>
    <row r="37" spans="1:7" ht="15.75">
      <c r="A37" s="56" t="s">
        <v>71</v>
      </c>
      <c r="B37" s="43"/>
      <c r="C37" s="43"/>
      <c r="D37" s="43"/>
      <c r="E37" s="43"/>
      <c r="F37" s="43"/>
      <c r="G37" s="43"/>
    </row>
    <row r="38" spans="1:7" ht="15.75">
      <c r="A38" s="44" t="s">
        <v>108</v>
      </c>
      <c r="B38" s="2"/>
      <c r="C38" s="2"/>
      <c r="D38" s="2"/>
      <c r="E38" s="2"/>
      <c r="F38" s="2"/>
      <c r="G38" s="2"/>
    </row>
    <row r="39" spans="1:7" ht="15.75">
      <c r="A39" s="44" t="s">
        <v>109</v>
      </c>
      <c r="B39" s="2"/>
      <c r="C39" s="2"/>
      <c r="D39" s="2"/>
      <c r="E39" s="2"/>
      <c r="F39" s="2"/>
      <c r="G39" s="2"/>
    </row>
    <row r="40" spans="1:7" ht="15.75">
      <c r="A40" s="57"/>
      <c r="B40" s="27">
        <v>2006</v>
      </c>
      <c r="C40" s="27">
        <v>2007</v>
      </c>
      <c r="D40" s="27">
        <v>2008</v>
      </c>
      <c r="E40" s="27">
        <v>2009</v>
      </c>
      <c r="F40" s="27">
        <v>2010</v>
      </c>
      <c r="G40" s="27">
        <v>2011</v>
      </c>
    </row>
    <row r="41" spans="1:7" ht="15.75">
      <c r="A41" s="45" t="s">
        <v>96</v>
      </c>
      <c r="B41" s="99">
        <v>29336</v>
      </c>
      <c r="C41" s="99">
        <v>29509</v>
      </c>
      <c r="D41" s="99">
        <v>29981</v>
      </c>
      <c r="E41" s="99">
        <v>30461</v>
      </c>
      <c r="F41" s="99">
        <v>30948</v>
      </c>
      <c r="G41" s="99">
        <v>31443</v>
      </c>
    </row>
    <row r="42" spans="1:7" ht="15.75">
      <c r="A42" s="44" t="s">
        <v>110</v>
      </c>
      <c r="B42" s="58">
        <v>26381</v>
      </c>
      <c r="C42" s="59">
        <v>26803.096</v>
      </c>
      <c r="D42" s="59">
        <v>27231.945536000003</v>
      </c>
      <c r="E42" s="59">
        <v>27667.656664576003</v>
      </c>
      <c r="F42" s="59">
        <v>28110.33917120922</v>
      </c>
      <c r="G42" s="59">
        <v>28560.104597948568</v>
      </c>
    </row>
    <row r="43" spans="1:7" ht="15.75">
      <c r="A43" s="44" t="s">
        <v>103</v>
      </c>
      <c r="B43" s="50" t="s">
        <v>78</v>
      </c>
      <c r="C43" s="49">
        <v>0.016</v>
      </c>
      <c r="D43" s="49">
        <v>0.016</v>
      </c>
      <c r="E43" s="49">
        <v>0.016</v>
      </c>
      <c r="F43" s="49">
        <v>0.016</v>
      </c>
      <c r="G43" s="49">
        <v>0.016</v>
      </c>
    </row>
    <row r="44" spans="1:7" ht="15.75">
      <c r="A44" s="44" t="s">
        <v>104</v>
      </c>
      <c r="B44" s="50" t="s">
        <v>78</v>
      </c>
      <c r="C44" s="60">
        <f>C42*1.01</f>
        <v>27071.12696</v>
      </c>
      <c r="D44" s="60">
        <f>D42*1.01</f>
        <v>27504.264991360003</v>
      </c>
      <c r="E44" s="60">
        <f>E42*1.01</f>
        <v>27944.333231221764</v>
      </c>
      <c r="F44" s="60">
        <f>F42*1.01</f>
        <v>28391.44256292131</v>
      </c>
      <c r="G44" s="60">
        <f>G42*1.01</f>
        <v>28845.705643928053</v>
      </c>
    </row>
    <row r="45" spans="1:7" ht="15.75">
      <c r="A45" s="2"/>
      <c r="B45" s="2"/>
      <c r="C45" s="2"/>
      <c r="D45" s="2"/>
      <c r="E45" s="2"/>
      <c r="F45" s="2"/>
      <c r="G45" s="2"/>
    </row>
    <row r="46" spans="1:7" ht="16.5" thickBot="1">
      <c r="A46" s="2"/>
      <c r="B46" s="2"/>
      <c r="C46" s="2"/>
      <c r="D46" s="2"/>
      <c r="E46" s="2"/>
      <c r="F46" s="2"/>
      <c r="G46" s="2"/>
    </row>
    <row r="47" spans="1:7" ht="15.75">
      <c r="A47" s="42" t="s">
        <v>111</v>
      </c>
      <c r="B47" s="43"/>
      <c r="C47" s="43"/>
      <c r="D47" s="43"/>
      <c r="E47" s="43"/>
      <c r="F47" s="43"/>
      <c r="G47" s="43"/>
    </row>
    <row r="48" spans="1:7" ht="15.75">
      <c r="A48" s="44" t="s">
        <v>112</v>
      </c>
      <c r="B48" s="2"/>
      <c r="C48" s="2"/>
      <c r="D48" s="2"/>
      <c r="E48" s="2"/>
      <c r="F48" s="2"/>
      <c r="G48" s="2"/>
    </row>
    <row r="49" spans="1:7" ht="15.75">
      <c r="A49" s="44" t="s">
        <v>113</v>
      </c>
      <c r="B49" s="2"/>
      <c r="C49" s="2"/>
      <c r="D49" s="2"/>
      <c r="E49" s="2"/>
      <c r="F49" s="2"/>
      <c r="G49" s="2"/>
    </row>
    <row r="50" spans="1:7" ht="15.75">
      <c r="A50" s="2"/>
      <c r="B50" s="27">
        <v>2006</v>
      </c>
      <c r="C50" s="27">
        <v>2007</v>
      </c>
      <c r="D50" s="27">
        <v>2008</v>
      </c>
      <c r="E50" s="27">
        <v>2009</v>
      </c>
      <c r="F50" s="27">
        <v>2010</v>
      </c>
      <c r="G50" s="27">
        <v>2011</v>
      </c>
    </row>
    <row r="51" spans="1:7" ht="15.75">
      <c r="A51" s="45" t="s">
        <v>96</v>
      </c>
      <c r="B51" s="54"/>
      <c r="C51" s="47">
        <v>0.0517</v>
      </c>
      <c r="D51" s="55">
        <v>0.149</v>
      </c>
      <c r="E51" s="55">
        <v>0.02</v>
      </c>
      <c r="F51" s="55">
        <v>0.058</v>
      </c>
      <c r="G51" s="55">
        <v>0.058</v>
      </c>
    </row>
    <row r="52" spans="1:7" ht="15.75">
      <c r="A52" s="44" t="s">
        <v>97</v>
      </c>
      <c r="B52" s="48">
        <v>0.078</v>
      </c>
      <c r="C52" s="49">
        <v>0.069</v>
      </c>
      <c r="D52" s="49">
        <v>0.058</v>
      </c>
      <c r="E52" s="49">
        <v>0.058</v>
      </c>
      <c r="F52" s="49">
        <v>0.058</v>
      </c>
      <c r="G52" s="49">
        <v>0.058</v>
      </c>
    </row>
  </sheetData>
  <mergeCells count="3">
    <mergeCell ref="A5:G5"/>
    <mergeCell ref="A1:G1"/>
    <mergeCell ref="A4:G4"/>
  </mergeCells>
  <printOptions horizontalCentered="1"/>
  <pageMargins left="0.25" right="0.25" top="0.98" bottom="0.73" header="0.44" footer="0.46"/>
  <pageSetup fitToHeight="0" fitToWidth="1" horizontalDpi="600" verticalDpi="600" orientation="portrait" scale="68" r:id="rId1"/>
  <headerFooter alignWithMargins="0">
    <oddHeader>&amp;R&amp;"Arial,Bold"&amp;14ATTACHMENT 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Rubardt</dc:creator>
  <cp:keywords/>
  <dc:description/>
  <cp:lastModifiedBy>St. John, Polly</cp:lastModifiedBy>
  <cp:lastPrinted>2008-11-20T06:25:30Z</cp:lastPrinted>
  <dcterms:created xsi:type="dcterms:W3CDTF">2008-11-11T00:22:32Z</dcterms:created>
  <dcterms:modified xsi:type="dcterms:W3CDTF">2008-11-22T00:44:33Z</dcterms:modified>
  <cp:category/>
  <cp:version/>
  <cp:contentType/>
  <cp:contentStatus/>
</cp:coreProperties>
</file>