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firstSheet="2" activeTab="2"/>
  </bookViews>
  <sheets>
    <sheet name="Sup.Ct." sheetId="1" state="hidden" r:id="rId1"/>
    <sheet name="DJA" sheetId="2" state="hidden" r:id="rId2"/>
    <sheet name="Info for Beth" sheetId="3" r:id="rId3"/>
    <sheet name="Line Item Budget" sheetId="4" state="hidden" r:id="rId4"/>
  </sheets>
  <definedNames>
    <definedName name="_xlnm.Print_Titles" localSheetId="2">'Info for Beth'!$4:$5</definedName>
  </definedNames>
  <calcPr fullCalcOnLoad="1"/>
</workbook>
</file>

<file path=xl/comments1.xml><?xml version="1.0" encoding="utf-8"?>
<comments xmlns="http://schemas.openxmlformats.org/spreadsheetml/2006/main">
  <authors>
    <author>King County</author>
  </authors>
  <commentList>
    <comment ref="N8" authorId="0">
      <text>
        <r>
          <rPr>
            <b/>
            <sz val="8"/>
            <rFont val="Tahoma"/>
            <family val="0"/>
          </rPr>
          <t>King County:</t>
        </r>
        <r>
          <rPr>
            <sz val="8"/>
            <rFont val="Tahoma"/>
            <family val="0"/>
          </rPr>
          <t xml:space="preserve">
This includes $16,835 if jury is sequested for penalty phase.  This needs to be increased to $46,296 if jury is sequested for entire trial.
</t>
        </r>
      </text>
    </comment>
    <comment ref="J12" authorId="0">
      <text>
        <r>
          <rPr>
            <b/>
            <sz val="8"/>
            <rFont val="Tahoma"/>
            <family val="0"/>
          </rPr>
          <t>King County:</t>
        </r>
        <r>
          <rPr>
            <sz val="8"/>
            <rFont val="Tahoma"/>
            <family val="0"/>
          </rPr>
          <t xml:space="preserve">
$25,100 w/no questionnaire enclosed with initial summons.  Increase to $29,900 if questionnaire is mailed with initial summons.
</t>
        </r>
      </text>
    </comment>
    <comment ref="J30" authorId="0">
      <text>
        <r>
          <rPr>
            <b/>
            <sz val="8"/>
            <rFont val="Tahoma"/>
            <family val="0"/>
          </rPr>
          <t>King County:</t>
        </r>
        <r>
          <rPr>
            <sz val="8"/>
            <rFont val="Tahoma"/>
            <family val="0"/>
          </rPr>
          <t xml:space="preserve">
Need to get quote from DCFM</t>
        </r>
      </text>
    </comment>
    <comment ref="N31" authorId="0">
      <text>
        <r>
          <rPr>
            <b/>
            <sz val="8"/>
            <rFont val="Tahoma"/>
            <family val="0"/>
          </rPr>
          <t>King County:</t>
        </r>
        <r>
          <rPr>
            <sz val="8"/>
            <rFont val="Tahoma"/>
            <family val="0"/>
          </rPr>
          <t xml:space="preserve">
Need to get costs from Sheriff
</t>
        </r>
      </text>
    </comment>
    <comment ref="J32" authorId="0">
      <text>
        <r>
          <rPr>
            <b/>
            <sz val="8"/>
            <rFont val="Tahoma"/>
            <family val="0"/>
          </rPr>
          <t>King County:</t>
        </r>
        <r>
          <rPr>
            <sz val="8"/>
            <rFont val="Tahoma"/>
            <family val="0"/>
          </rPr>
          <t xml:space="preserve">
Need to get costs from DJAD</t>
        </r>
      </text>
    </comment>
    <comment ref="N32" authorId="0">
      <text>
        <r>
          <rPr>
            <b/>
            <sz val="8"/>
            <rFont val="Tahoma"/>
            <family val="0"/>
          </rPr>
          <t>King County:</t>
        </r>
        <r>
          <rPr>
            <sz val="8"/>
            <rFont val="Tahoma"/>
            <family val="0"/>
          </rPr>
          <t xml:space="preserve">
Need to get costs from DJAD
</t>
        </r>
      </text>
    </comment>
    <comment ref="F27" authorId="0">
      <text>
        <r>
          <rPr>
            <b/>
            <sz val="8"/>
            <rFont val="Tahoma"/>
            <family val="0"/>
          </rPr>
          <t>King County:</t>
        </r>
        <r>
          <rPr>
            <sz val="8"/>
            <rFont val="Tahoma"/>
            <family val="0"/>
          </rPr>
          <t xml:space="preserve">
paper shredder
</t>
        </r>
      </text>
    </comment>
    <comment ref="N12" authorId="0">
      <text>
        <r>
          <rPr>
            <b/>
            <sz val="8"/>
            <rFont val="Tahoma"/>
            <family val="0"/>
          </rPr>
          <t>King County:</t>
        </r>
        <r>
          <rPr>
            <sz val="8"/>
            <rFont val="Tahoma"/>
            <family val="0"/>
          </rPr>
          <t xml:space="preserve">
$2,000 w/o questionnaire in initial summons.  Increase to $3,500 if summons sent w/initial questionnaire
</t>
        </r>
      </text>
    </comment>
    <comment ref="J9" authorId="0">
      <text>
        <r>
          <rPr>
            <b/>
            <sz val="8"/>
            <rFont val="Tahoma"/>
            <family val="0"/>
          </rPr>
          <t>King County:</t>
        </r>
        <r>
          <rPr>
            <sz val="8"/>
            <rFont val="Tahoma"/>
            <family val="0"/>
          </rPr>
          <t xml:space="preserve">
includes copying questionnaires</t>
        </r>
      </text>
    </comment>
    <comment ref="N9" authorId="0">
      <text>
        <r>
          <rPr>
            <b/>
            <sz val="8"/>
            <rFont val="Tahoma"/>
            <family val="0"/>
          </rPr>
          <t>King County:</t>
        </r>
        <r>
          <rPr>
            <sz val="8"/>
            <rFont val="Tahoma"/>
            <family val="0"/>
          </rPr>
          <t xml:space="preserve">
includes copying questionnaires
</t>
        </r>
      </text>
    </comment>
  </commentList>
</comments>
</file>

<file path=xl/comments3.xml><?xml version="1.0" encoding="utf-8"?>
<comments xmlns="http://schemas.openxmlformats.org/spreadsheetml/2006/main">
  <authors>
    <author>King County</author>
  </authors>
  <commentList>
    <comment ref="I21" authorId="0">
      <text>
        <r>
          <rPr>
            <b/>
            <sz val="8"/>
            <rFont val="Tahoma"/>
            <family val="0"/>
          </rPr>
          <t>King County:</t>
        </r>
        <r>
          <rPr>
            <sz val="8"/>
            <rFont val="Tahoma"/>
            <family val="0"/>
          </rPr>
          <t xml:space="preserve">
Sequestration of the jury may be an issue during trial with cost estimates ranging from $73,660 for the capital case preparation only to $527,600 for the entire trial.  We mention this out of an abundance of caution since there is no motion pending before the Court regarding this issue.</t>
        </r>
      </text>
    </comment>
    <comment ref="K50" authorId="0">
      <text>
        <r>
          <rPr>
            <b/>
            <sz val="8"/>
            <rFont val="Tahoma"/>
            <family val="0"/>
          </rPr>
          <t>King County:</t>
        </r>
        <r>
          <rPr>
            <sz val="8"/>
            <rFont val="Tahoma"/>
            <family val="0"/>
          </rPr>
          <t xml:space="preserve">
Storage cost estimates of $8,000 assumes space is made available in the King County Courthouse.  If secure storage is rented outside the courthouse, cost could be as high as $600,000 for a 3-year period.</t>
        </r>
      </text>
    </comment>
  </commentList>
</comments>
</file>

<file path=xl/sharedStrings.xml><?xml version="1.0" encoding="utf-8"?>
<sst xmlns="http://schemas.openxmlformats.org/spreadsheetml/2006/main" count="171" uniqueCount="122">
  <si>
    <t>Ridgway/Green River Homicides Investigation Budgets</t>
  </si>
  <si>
    <t>Item</t>
  </si>
  <si>
    <t>Additional Needs</t>
  </si>
  <si>
    <t>FTEs</t>
  </si>
  <si>
    <t>Actuals (through 6/30/02)</t>
  </si>
  <si>
    <t>TOTAL</t>
  </si>
  <si>
    <t>GRAND TOTAL</t>
  </si>
  <si>
    <t>Revenues</t>
  </si>
  <si>
    <t>53101-Pro Tem Judges</t>
  </si>
  <si>
    <t>51130-Bailiff Overtime</t>
  </si>
  <si>
    <t>53220-Juror Summons</t>
  </si>
  <si>
    <t>51120-Pro Tem Jury staff</t>
  </si>
  <si>
    <t xml:space="preserve">51120-Pro Tem Bailiffs </t>
  </si>
  <si>
    <t xml:space="preserve">53104-Pro Tem Court Reporter  </t>
  </si>
  <si>
    <t>Pro Tem Facilities Staff</t>
  </si>
  <si>
    <t>Wiring &amp; Monitor for Press Room</t>
  </si>
  <si>
    <t>Media Coordinator</t>
  </si>
  <si>
    <t>Viewing Room for Families w/video hookup</t>
  </si>
  <si>
    <t>Additional Telephone Line to manage jurors</t>
  </si>
  <si>
    <t>Computer upgrades-judge, bailiff, jury room</t>
  </si>
  <si>
    <t>Data line, printer, copy machine, fax, paper shredder</t>
  </si>
  <si>
    <t>Modifications to jury box to seat additional jurors</t>
  </si>
  <si>
    <t>Pro Tem Courtroom Clerks for backfill (1.5)</t>
  </si>
  <si>
    <t>Judicial Assistant for case management</t>
  </si>
  <si>
    <t>Paralegal to assist judge w/research</t>
  </si>
  <si>
    <t>Additional DJA office support (.5)</t>
  </si>
  <si>
    <t>Additional courtroom clerk during certain parts of trial</t>
  </si>
  <si>
    <t>Secure storage for exhibits, questionnaires, etc.</t>
  </si>
  <si>
    <t>Security modifications to courtroom</t>
  </si>
  <si>
    <t>Security for jurors</t>
  </si>
  <si>
    <t>Security fro transport of defendant</t>
  </si>
  <si>
    <t>Sequestering of Jury:</t>
  </si>
  <si>
    <t>Hotel-$1120/night; food $720/day</t>
  </si>
  <si>
    <t>During entire trial:  $460,000</t>
  </si>
  <si>
    <t>During deliberations &amp; penalty phase only: $73,600</t>
  </si>
  <si>
    <t>NOTE:  Additional Potential Costs</t>
  </si>
  <si>
    <t>2002 Budget</t>
  </si>
  <si>
    <t>Expenditures</t>
  </si>
  <si>
    <t>Department:  Superior Court</t>
  </si>
  <si>
    <t xml:space="preserve">2002 Budget </t>
  </si>
  <si>
    <t>Department:  Department of Judicial Administration</t>
  </si>
  <si>
    <t>53821-Jury Fees &amp; Mileage</t>
  </si>
  <si>
    <r>
      <t xml:space="preserve">NOTE:  </t>
    </r>
    <r>
      <rPr>
        <sz val="10"/>
        <rFont val="Arial"/>
        <family val="2"/>
      </rPr>
      <t>DJA will have costs associated with the appellate process in 2005.</t>
    </r>
  </si>
  <si>
    <t>Court Clerk Overtime</t>
  </si>
  <si>
    <t>Supervisor Overtime - track proceedings, monitor work</t>
  </si>
  <si>
    <t>Clerks Papers Pro Tem</t>
  </si>
  <si>
    <t>Exhibit Room support</t>
  </si>
  <si>
    <t xml:space="preserve"> -   </t>
  </si>
  <si>
    <t>State v. Ridgway Budget 2003-2004</t>
  </si>
  <si>
    <t>51110  REGULAR SALARIED EMPLOYEE</t>
  </si>
  <si>
    <t>51120  TEMP</t>
  </si>
  <si>
    <t>51130  OVERTIME</t>
  </si>
  <si>
    <t>51315  FLEX BENEFIT COMBINED CHG</t>
  </si>
  <si>
    <t>51320  O A S I / FICA</t>
  </si>
  <si>
    <t>51330  RETIREMENT</t>
  </si>
  <si>
    <t>51340  INDUSTRIAL INSURANCE</t>
  </si>
  <si>
    <t>52110  OFFICE SUPPLIES</t>
  </si>
  <si>
    <t>52170A  COPY MACHINE SUPPLIES</t>
  </si>
  <si>
    <t>52180 OTHER MINOR OFFICE FURN/EQ</t>
  </si>
  <si>
    <t>52190 SOFTWARE UNDER $1000</t>
  </si>
  <si>
    <t>52191  MINOR PC UPGRADES/REPAIRS</t>
  </si>
  <si>
    <t>52212  EDP SUPPLIES</t>
  </si>
  <si>
    <t>52215  PUBLICATIONS-UNDER $500EA</t>
  </si>
  <si>
    <t>52290  MISC OPERATING SUPPLIES</t>
  </si>
  <si>
    <t>53105  OTHER CONTRACT/PROF SRVCS</t>
  </si>
  <si>
    <t>53211  TELCOM SERV-ONGOING CHRG</t>
  </si>
  <si>
    <t>53212 TELCOM SERV-ONE TIME CHRG</t>
  </si>
  <si>
    <t>53220  POSTAGE</t>
  </si>
  <si>
    <t>53770A  RENT-COPY MACHINE</t>
  </si>
  <si>
    <t>53806  PRINTING &amp; BINDING</t>
  </si>
  <si>
    <t>53890  MISC SERVICES &amp; CHARGES</t>
  </si>
  <si>
    <t>56720 FURNITURE</t>
  </si>
  <si>
    <t>56730 OFFICE EQUIPMENT</t>
  </si>
  <si>
    <t>56740  EDP EQUIPMENT &amp; SOFTWARE</t>
  </si>
  <si>
    <t>53101  LEGAL SERVICES (Pro Tem Judges)</t>
  </si>
  <si>
    <t>53104  CONSULTING SERVICES (Pro Tem Court Reporter)</t>
  </si>
  <si>
    <t>53821  JURY FEES &amp; MILEAGE</t>
  </si>
  <si>
    <t>53822  OTHER JURY EXPENSES</t>
  </si>
  <si>
    <t>55145  FACILITIES MANAGEMENT</t>
  </si>
  <si>
    <t>Sequestering of jury:  whole trial  $460,000</t>
  </si>
  <si>
    <t xml:space="preserve">                                penalty phase only  $73,600</t>
  </si>
  <si>
    <t>Absorbed Costs</t>
  </si>
  <si>
    <t>New Costs</t>
  </si>
  <si>
    <t>Bailiff</t>
  </si>
  <si>
    <t>Court Reporter</t>
  </si>
  <si>
    <t>Superior Court</t>
  </si>
  <si>
    <t>Administrative Assistant</t>
  </si>
  <si>
    <t xml:space="preserve">Judge  </t>
  </si>
  <si>
    <t>Facilities Specialist</t>
  </si>
  <si>
    <t>Temp Help-Facilities Coordinator</t>
  </si>
  <si>
    <t>Temp Help-Jury Coordinator</t>
  </si>
  <si>
    <t>Bailiff Overtime</t>
  </si>
  <si>
    <t>Pro Tem Court Reporter</t>
  </si>
  <si>
    <t>Jury Fees &amp; Mileage</t>
  </si>
  <si>
    <t>Computer Upgrades-jury room, judge &amp; staff</t>
  </si>
  <si>
    <t>Data lines, printer, copy machine, fax</t>
  </si>
  <si>
    <t>Modifications to jury box to seat addt'l jurors</t>
  </si>
  <si>
    <t>Additional telephone line to manage jurors</t>
  </si>
  <si>
    <t>Wiring &amp; monitor for press room</t>
  </si>
  <si>
    <t>Wiring &amp; monitor(s) for overflow/family room</t>
  </si>
  <si>
    <t>Pro Tem Bailiff(s)</t>
  </si>
  <si>
    <t>Supplies</t>
  </si>
  <si>
    <t>Pro Tem Judge(s)</t>
  </si>
  <si>
    <t>Superior Court Total</t>
  </si>
  <si>
    <t>Department of Judicial Administration</t>
  </si>
  <si>
    <t>State vs. Ridgway Costs - 2003, 2004 &amp; 2005</t>
  </si>
  <si>
    <t>Data lines for attorney &amp; press rooms</t>
  </si>
  <si>
    <t>Clerk</t>
  </si>
  <si>
    <t>.5 pro tem office and exhibit room support</t>
  </si>
  <si>
    <t>Supervisor OT - track proceedings, monitor</t>
  </si>
  <si>
    <t>Clerk's Papers</t>
  </si>
  <si>
    <t>DJA  Total</t>
  </si>
  <si>
    <t>Computer Services staff</t>
  </si>
  <si>
    <t>Total</t>
  </si>
  <si>
    <t>Jury Summons, Postage &amp; staff processing</t>
  </si>
  <si>
    <t>Law Clerk/Contract Attorney</t>
  </si>
  <si>
    <t>Sequestered Jury Expenses [see note]</t>
  </si>
  <si>
    <t>Exhibit Storage [see note]</t>
  </si>
  <si>
    <t>Other modifications to courtroom</t>
  </si>
  <si>
    <t>Pro Tem Clerk (1/2 time 6/03-3/04)</t>
  </si>
  <si>
    <t>.5 pro tem court clerk (1/2 time 6/03-3/04)</t>
  </si>
  <si>
    <t>Attachment 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</si>
</sst>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2" fillId="0" borderId="2" xfId="0" applyFont="1" applyBorder="1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Continuous"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165" fontId="0" fillId="0" borderId="8" xfId="15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8" xfId="15" applyNumberFormat="1" applyFont="1" applyBorder="1" applyAlignment="1">
      <alignment horizontal="center"/>
    </xf>
    <xf numFmtId="165" fontId="0" fillId="0" borderId="8" xfId="15" applyNumberFormat="1" applyFont="1" applyBorder="1" applyAlignment="1">
      <alignment horizontal="center" wrapText="1"/>
    </xf>
    <xf numFmtId="4" fontId="0" fillId="0" borderId="8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0" fillId="0" borderId="8" xfId="15" applyNumberFormat="1" applyFont="1" applyBorder="1" applyAlignment="1">
      <alignment/>
    </xf>
    <xf numFmtId="2" fontId="0" fillId="0" borderId="8" xfId="15" applyNumberFormat="1" applyFont="1" applyBorder="1" applyAlignment="1">
      <alignment horizontal="center"/>
    </xf>
    <xf numFmtId="2" fontId="0" fillId="0" borderId="8" xfId="15" applyNumberFormat="1" applyFont="1" applyBorder="1" applyAlignment="1">
      <alignment/>
    </xf>
    <xf numFmtId="4" fontId="0" fillId="0" borderId="8" xfId="15" applyNumberFormat="1" applyFont="1" applyBorder="1" applyAlignment="1">
      <alignment horizontal="right"/>
    </xf>
    <xf numFmtId="4" fontId="0" fillId="0" borderId="8" xfId="15" applyNumberFormat="1" applyFont="1" applyBorder="1" applyAlignment="1">
      <alignment horizontal="right" wrapText="1"/>
    </xf>
    <xf numFmtId="4" fontId="0" fillId="0" borderId="8" xfId="0" applyNumberFormat="1" applyFont="1" applyBorder="1" applyAlignment="1">
      <alignment horizontal="right"/>
    </xf>
    <xf numFmtId="2" fontId="0" fillId="0" borderId="8" xfId="15" applyNumberFormat="1" applyFont="1" applyBorder="1" applyAlignment="1">
      <alignment horizontal="right"/>
    </xf>
    <xf numFmtId="165" fontId="0" fillId="0" borderId="8" xfId="15" applyNumberFormat="1" applyFont="1" applyBorder="1" applyAlignment="1">
      <alignment horizontal="right"/>
    </xf>
    <xf numFmtId="2" fontId="0" fillId="0" borderId="8" xfId="15" applyNumberFormat="1" applyFont="1" applyBorder="1" applyAlignment="1">
      <alignment horizontal="right" wrapText="1"/>
    </xf>
    <xf numFmtId="4" fontId="0" fillId="0" borderId="8" xfId="0" applyNumberFormat="1" applyBorder="1" applyAlignment="1">
      <alignment/>
    </xf>
    <xf numFmtId="0" fontId="2" fillId="0" borderId="5" xfId="0" applyFont="1" applyBorder="1" applyAlignment="1">
      <alignment horizontal="center" wrapText="1"/>
    </xf>
    <xf numFmtId="14" fontId="2" fillId="0" borderId="0" xfId="0" applyNumberFormat="1" applyFont="1" applyAlignment="1">
      <alignment horizontal="left"/>
    </xf>
    <xf numFmtId="0" fontId="6" fillId="0" borderId="8" xfId="0" applyFont="1" applyBorder="1" applyAlignment="1">
      <alignment/>
    </xf>
    <xf numFmtId="4" fontId="0" fillId="0" borderId="8" xfId="15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8" fillId="0" borderId="6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Continuous"/>
    </xf>
    <xf numFmtId="0" fontId="8" fillId="0" borderId="8" xfId="0" applyFont="1" applyBorder="1" applyAlignment="1">
      <alignment horizontal="left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14" fontId="0" fillId="0" borderId="0" xfId="0" applyNumberFormat="1" applyFont="1" applyAlignment="1">
      <alignment/>
    </xf>
    <xf numFmtId="3" fontId="0" fillId="0" borderId="8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3" fontId="0" fillId="0" borderId="8" xfId="0" applyNumberFormat="1" applyBorder="1" applyAlignment="1">
      <alignment/>
    </xf>
    <xf numFmtId="0" fontId="2" fillId="0" borderId="8" xfId="0" applyFont="1" applyBorder="1" applyAlignment="1">
      <alignment horizontal="right"/>
    </xf>
    <xf numFmtId="3" fontId="2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37" fontId="2" fillId="0" borderId="8" xfId="17" applyNumberFormat="1" applyFont="1" applyBorder="1" applyAlignment="1">
      <alignment/>
    </xf>
    <xf numFmtId="0" fontId="2" fillId="0" borderId="0" xfId="0" applyFont="1" applyAlignment="1">
      <alignment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pane xSplit="3" ySplit="13" topLeftCell="F14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J43" sqref="J43"/>
    </sheetView>
  </sheetViews>
  <sheetFormatPr defaultColWidth="9.140625" defaultRowHeight="12.75"/>
  <cols>
    <col min="1" max="1" width="45.7109375" style="0" customWidth="1"/>
    <col min="2" max="3" width="10.7109375" style="0" customWidth="1"/>
    <col min="4" max="4" width="5.7109375" style="0" customWidth="1"/>
    <col min="5" max="5" width="2.00390625" style="0" customWidth="1"/>
    <col min="6" max="6" width="11.7109375" style="0" customWidth="1"/>
    <col min="7" max="7" width="10.7109375" style="0" customWidth="1"/>
    <col min="8" max="8" width="5.7109375" style="0" customWidth="1"/>
    <col min="9" max="9" width="2.00390625" style="0" customWidth="1"/>
    <col min="10" max="10" width="11.7109375" style="0" customWidth="1"/>
    <col min="11" max="11" width="10.7109375" style="0" customWidth="1"/>
    <col min="12" max="12" width="5.7109375" style="0" customWidth="1"/>
    <col min="13" max="13" width="1.421875" style="0" customWidth="1"/>
    <col min="14" max="14" width="11.7109375" style="0" customWidth="1"/>
    <col min="15" max="15" width="10.7109375" style="0" customWidth="1"/>
    <col min="16" max="16" width="5.7109375" style="0" customWidth="1"/>
  </cols>
  <sheetData>
    <row r="1" spans="1:2" ht="15.75">
      <c r="A1" s="37">
        <v>37442</v>
      </c>
      <c r="B1" s="1" t="s">
        <v>0</v>
      </c>
    </row>
    <row r="2" ht="12.75">
      <c r="B2" s="2" t="s">
        <v>38</v>
      </c>
    </row>
    <row r="4" ht="13.5" thickBot="1"/>
    <row r="5" spans="1:16" ht="12.75">
      <c r="A5" s="3"/>
      <c r="B5" s="3"/>
      <c r="C5" s="4"/>
      <c r="D5" s="5"/>
      <c r="E5" s="8"/>
      <c r="F5" s="6" t="s">
        <v>4</v>
      </c>
      <c r="G5" s="6"/>
      <c r="H5" s="6"/>
      <c r="I5" s="9"/>
      <c r="J5" s="4">
        <v>2003</v>
      </c>
      <c r="K5" s="4"/>
      <c r="L5" s="5"/>
      <c r="M5" s="8"/>
      <c r="N5" s="6">
        <v>2004</v>
      </c>
      <c r="O5" s="6"/>
      <c r="P5" s="7"/>
    </row>
    <row r="6" spans="1:16" ht="24">
      <c r="A6" s="10" t="s">
        <v>1</v>
      </c>
      <c r="B6" s="41" t="s">
        <v>36</v>
      </c>
      <c r="C6" s="46" t="s">
        <v>7</v>
      </c>
      <c r="D6" s="42" t="s">
        <v>3</v>
      </c>
      <c r="E6" s="43"/>
      <c r="F6" s="46" t="s">
        <v>37</v>
      </c>
      <c r="G6" s="46" t="s">
        <v>7</v>
      </c>
      <c r="H6" s="44" t="s">
        <v>3</v>
      </c>
      <c r="I6" s="45"/>
      <c r="J6" s="41" t="s">
        <v>37</v>
      </c>
      <c r="K6" s="46" t="s">
        <v>7</v>
      </c>
      <c r="L6" s="44" t="s">
        <v>3</v>
      </c>
      <c r="M6" s="43"/>
      <c r="N6" s="41" t="s">
        <v>37</v>
      </c>
      <c r="O6" s="46" t="s">
        <v>7</v>
      </c>
      <c r="P6" s="47" t="s">
        <v>3</v>
      </c>
    </row>
    <row r="7" spans="1:16" s="21" customFormat="1" ht="12.75">
      <c r="A7" s="19" t="s">
        <v>8</v>
      </c>
      <c r="B7" s="24">
        <v>0</v>
      </c>
      <c r="C7" s="29"/>
      <c r="D7" s="32">
        <v>0</v>
      </c>
      <c r="E7" s="33"/>
      <c r="F7" s="30">
        <v>0</v>
      </c>
      <c r="G7" s="30"/>
      <c r="H7" s="34"/>
      <c r="I7" s="23"/>
      <c r="J7" s="29">
        <f>39089</f>
        <v>39089</v>
      </c>
      <c r="K7" s="29"/>
      <c r="L7" s="27"/>
      <c r="M7" s="22"/>
      <c r="N7" s="29">
        <f>87971</f>
        <v>87971</v>
      </c>
      <c r="O7" s="29"/>
      <c r="P7" s="32"/>
    </row>
    <row r="8" spans="1:16" s="21" customFormat="1" ht="12.75">
      <c r="A8" s="19" t="s">
        <v>12</v>
      </c>
      <c r="B8" s="24">
        <v>0</v>
      </c>
      <c r="C8" s="29"/>
      <c r="D8" s="32"/>
      <c r="E8" s="33"/>
      <c r="F8" s="30">
        <v>0</v>
      </c>
      <c r="G8" s="30"/>
      <c r="H8" s="34"/>
      <c r="I8" s="23"/>
      <c r="J8" s="29">
        <v>30856</v>
      </c>
      <c r="K8" s="29"/>
      <c r="L8" s="27"/>
      <c r="M8" s="22"/>
      <c r="N8" s="29">
        <f>10522+16835+69444</f>
        <v>96801</v>
      </c>
      <c r="O8" s="29"/>
      <c r="P8" s="32"/>
    </row>
    <row r="9" spans="1:16" s="21" customFormat="1" ht="12.75">
      <c r="A9" s="19" t="s">
        <v>11</v>
      </c>
      <c r="B9" s="24">
        <v>0</v>
      </c>
      <c r="C9" s="29"/>
      <c r="D9" s="32"/>
      <c r="E9" s="33"/>
      <c r="F9" s="30">
        <v>0</v>
      </c>
      <c r="G9" s="30"/>
      <c r="H9" s="34"/>
      <c r="I9" s="23"/>
      <c r="J9" s="29">
        <f>5618+5616</f>
        <v>11234</v>
      </c>
      <c r="K9" s="29"/>
      <c r="L9" s="27"/>
      <c r="M9" s="22"/>
      <c r="N9" s="29">
        <f>2100+2025</f>
        <v>4125</v>
      </c>
      <c r="O9" s="29"/>
      <c r="P9" s="32"/>
    </row>
    <row r="10" spans="1:16" ht="12.75">
      <c r="A10" s="19" t="s">
        <v>9</v>
      </c>
      <c r="B10" s="24">
        <v>0</v>
      </c>
      <c r="C10" s="29"/>
      <c r="D10" s="32"/>
      <c r="E10" s="33"/>
      <c r="F10" s="30">
        <v>0</v>
      </c>
      <c r="G10" s="30"/>
      <c r="H10" s="34"/>
      <c r="I10" s="23"/>
      <c r="J10" s="29">
        <v>4114</v>
      </c>
      <c r="K10" s="29"/>
      <c r="L10" s="27"/>
      <c r="M10" s="22"/>
      <c r="N10" s="29">
        <v>47499</v>
      </c>
      <c r="O10" s="29"/>
      <c r="P10" s="32"/>
    </row>
    <row r="11" spans="1:16" ht="12.75">
      <c r="A11" s="19" t="s">
        <v>13</v>
      </c>
      <c r="B11" s="24">
        <v>0</v>
      </c>
      <c r="C11" s="29"/>
      <c r="D11" s="32"/>
      <c r="E11" s="33"/>
      <c r="F11" s="30">
        <v>0</v>
      </c>
      <c r="G11" s="30"/>
      <c r="H11" s="34"/>
      <c r="I11" s="23"/>
      <c r="J11" s="29">
        <f>43193+20500</f>
        <v>63693</v>
      </c>
      <c r="K11" s="29"/>
      <c r="L11" s="27"/>
      <c r="M11" s="22"/>
      <c r="N11" s="29">
        <f>97210+45100</f>
        <v>142310</v>
      </c>
      <c r="O11" s="29"/>
      <c r="P11" s="32"/>
    </row>
    <row r="12" spans="1:16" ht="12.75">
      <c r="A12" s="19" t="s">
        <v>10</v>
      </c>
      <c r="B12" s="24">
        <v>0</v>
      </c>
      <c r="C12" s="29"/>
      <c r="D12" s="32"/>
      <c r="E12" s="33"/>
      <c r="F12" s="30">
        <v>0</v>
      </c>
      <c r="G12" s="30"/>
      <c r="H12" s="34"/>
      <c r="I12" s="23"/>
      <c r="J12" s="29">
        <f>25100</f>
        <v>25100</v>
      </c>
      <c r="K12" s="29"/>
      <c r="L12" s="27"/>
      <c r="M12" s="22"/>
      <c r="N12" s="29">
        <v>2000</v>
      </c>
      <c r="O12" s="29"/>
      <c r="P12" s="32"/>
    </row>
    <row r="13" spans="1:16" ht="12.75">
      <c r="A13" s="19" t="s">
        <v>41</v>
      </c>
      <c r="B13" s="24">
        <v>0</v>
      </c>
      <c r="C13" s="29"/>
      <c r="D13" s="32"/>
      <c r="E13" s="33"/>
      <c r="F13" s="29">
        <v>0</v>
      </c>
      <c r="G13" s="29"/>
      <c r="H13" s="32"/>
      <c r="I13" s="20"/>
      <c r="J13" s="29">
        <v>0</v>
      </c>
      <c r="K13" s="29"/>
      <c r="L13" s="28"/>
      <c r="M13" s="20"/>
      <c r="N13" s="29">
        <f>37526+48540</f>
        <v>86066</v>
      </c>
      <c r="O13" s="29"/>
      <c r="P13" s="32"/>
    </row>
    <row r="14" spans="1:16" ht="12.75">
      <c r="A14" s="19"/>
      <c r="B14" s="24"/>
      <c r="C14" s="29"/>
      <c r="D14" s="32"/>
      <c r="E14" s="33"/>
      <c r="F14" s="33"/>
      <c r="G14" s="29"/>
      <c r="H14" s="32"/>
      <c r="I14" s="20"/>
      <c r="J14" s="29"/>
      <c r="K14" s="29"/>
      <c r="L14" s="28"/>
      <c r="M14" s="20"/>
      <c r="N14" s="29"/>
      <c r="O14" s="29"/>
      <c r="P14" s="32"/>
    </row>
    <row r="15" spans="1:16" ht="12.75">
      <c r="A15" s="18" t="s">
        <v>5</v>
      </c>
      <c r="B15" s="29">
        <f>SUM(B7:B14)</f>
        <v>0</v>
      </c>
      <c r="C15" s="29">
        <f>SUM(C7:C14)</f>
        <v>0</v>
      </c>
      <c r="D15" s="29">
        <f>SUM(D7:D14)</f>
        <v>0</v>
      </c>
      <c r="E15" s="29"/>
      <c r="F15" s="29">
        <f>SUM(F7:F14)</f>
        <v>0</v>
      </c>
      <c r="G15" s="29">
        <f>SUM(G7:G14)</f>
        <v>0</v>
      </c>
      <c r="H15" s="29">
        <f>SUM(H7:H14)</f>
        <v>0</v>
      </c>
      <c r="I15" s="20"/>
      <c r="J15" s="29">
        <f>SUM(J7:J14)</f>
        <v>174086</v>
      </c>
      <c r="K15" s="29">
        <f>SUM(K7:K14)</f>
        <v>0</v>
      </c>
      <c r="L15" s="29">
        <f>SUM(L7:L14)</f>
        <v>0</v>
      </c>
      <c r="M15" s="20"/>
      <c r="N15" s="39">
        <f>SUM(N7:N14)</f>
        <v>466772</v>
      </c>
      <c r="O15" s="29">
        <f>SUM(O13:O14)</f>
        <v>0</v>
      </c>
      <c r="P15" s="32">
        <f>SUM(P13:P14)</f>
        <v>0</v>
      </c>
    </row>
    <row r="16" spans="1:16" ht="12.75">
      <c r="A16" s="18"/>
      <c r="B16" s="35"/>
      <c r="C16" s="29"/>
      <c r="D16" s="32"/>
      <c r="E16" s="33"/>
      <c r="F16" s="33"/>
      <c r="G16" s="29"/>
      <c r="H16" s="32"/>
      <c r="I16" s="20"/>
      <c r="J16" s="29"/>
      <c r="K16" s="29"/>
      <c r="L16" s="28"/>
      <c r="M16" s="20"/>
      <c r="N16" s="29"/>
      <c r="O16" s="29"/>
      <c r="P16" s="32"/>
    </row>
    <row r="17" spans="1:16" ht="12.75">
      <c r="A17" s="17" t="s">
        <v>2</v>
      </c>
      <c r="B17" s="25"/>
      <c r="C17" s="29"/>
      <c r="D17" s="32"/>
      <c r="E17" s="33"/>
      <c r="F17" s="33"/>
      <c r="G17" s="29"/>
      <c r="H17" s="32"/>
      <c r="I17" s="20"/>
      <c r="J17" s="29"/>
      <c r="K17" s="29"/>
      <c r="L17" s="28"/>
      <c r="M17" s="20"/>
      <c r="N17" s="29"/>
      <c r="O17" s="29"/>
      <c r="P17" s="32"/>
    </row>
    <row r="18" spans="1:16" ht="12.75">
      <c r="A18" s="17"/>
      <c r="B18" s="25"/>
      <c r="C18" s="29"/>
      <c r="D18" s="32"/>
      <c r="E18" s="33"/>
      <c r="F18" s="33"/>
      <c r="G18" s="29"/>
      <c r="H18" s="32"/>
      <c r="I18" s="20"/>
      <c r="J18" s="29"/>
      <c r="K18" s="29"/>
      <c r="L18" s="28"/>
      <c r="M18" s="20"/>
      <c r="N18" s="29"/>
      <c r="O18" s="29"/>
      <c r="P18" s="32"/>
    </row>
    <row r="19" spans="1:16" ht="12.75">
      <c r="A19" s="19" t="s">
        <v>23</v>
      </c>
      <c r="B19" s="24">
        <v>0</v>
      </c>
      <c r="C19" s="29"/>
      <c r="D19" s="32"/>
      <c r="E19" s="33"/>
      <c r="F19" s="29">
        <v>0</v>
      </c>
      <c r="G19" s="29"/>
      <c r="H19" s="32"/>
      <c r="I19" s="20"/>
      <c r="J19" s="29">
        <v>28763</v>
      </c>
      <c r="K19" s="29"/>
      <c r="L19" s="28">
        <v>0.5</v>
      </c>
      <c r="M19" s="20"/>
      <c r="N19" s="29">
        <v>48118</v>
      </c>
      <c r="O19" s="29"/>
      <c r="P19" s="32">
        <v>1</v>
      </c>
    </row>
    <row r="20" spans="1:16" ht="12.75">
      <c r="A20" s="19" t="s">
        <v>24</v>
      </c>
      <c r="B20" s="24">
        <v>0</v>
      </c>
      <c r="C20" s="29"/>
      <c r="D20" s="32"/>
      <c r="E20" s="33"/>
      <c r="F20" s="29">
        <v>0</v>
      </c>
      <c r="G20" s="29"/>
      <c r="H20" s="32"/>
      <c r="I20" s="20"/>
      <c r="J20" s="29">
        <v>30692</v>
      </c>
      <c r="K20" s="29"/>
      <c r="L20" s="28">
        <v>0.5</v>
      </c>
      <c r="M20" s="20"/>
      <c r="N20" s="29">
        <v>51976</v>
      </c>
      <c r="O20" s="29"/>
      <c r="P20" s="32">
        <v>1</v>
      </c>
    </row>
    <row r="21" spans="1:16" ht="12.75">
      <c r="A21" s="19" t="s">
        <v>14</v>
      </c>
      <c r="B21" s="24">
        <v>0</v>
      </c>
      <c r="C21" s="29"/>
      <c r="D21" s="32"/>
      <c r="E21" s="33"/>
      <c r="F21" s="31">
        <v>0</v>
      </c>
      <c r="G21" s="29"/>
      <c r="H21" s="32"/>
      <c r="I21" s="20"/>
      <c r="J21" s="29">
        <v>5597</v>
      </c>
      <c r="K21" s="29"/>
      <c r="L21" s="28"/>
      <c r="M21" s="20"/>
      <c r="N21" s="29">
        <v>1866</v>
      </c>
      <c r="O21" s="29"/>
      <c r="P21" s="32"/>
    </row>
    <row r="22" spans="1:16" ht="12.75">
      <c r="A22" s="19" t="s">
        <v>15</v>
      </c>
      <c r="B22" s="24">
        <v>0</v>
      </c>
      <c r="C22" s="29"/>
      <c r="D22" s="32"/>
      <c r="E22" s="33"/>
      <c r="F22" s="31">
        <v>0</v>
      </c>
      <c r="G22" s="29"/>
      <c r="H22" s="32"/>
      <c r="I22" s="20"/>
      <c r="J22" s="29">
        <v>7500</v>
      </c>
      <c r="K22" s="29"/>
      <c r="L22" s="28"/>
      <c r="M22" s="20"/>
      <c r="N22" s="29">
        <v>0</v>
      </c>
      <c r="O22" s="29"/>
      <c r="P22" s="32"/>
    </row>
    <row r="23" spans="1:16" ht="12.75">
      <c r="A23" s="19" t="s">
        <v>16</v>
      </c>
      <c r="B23" s="24">
        <v>0</v>
      </c>
      <c r="C23" s="29"/>
      <c r="D23" s="32"/>
      <c r="E23" s="33"/>
      <c r="F23" s="31">
        <v>0</v>
      </c>
      <c r="G23" s="29"/>
      <c r="H23" s="32"/>
      <c r="I23" s="20"/>
      <c r="J23" s="29">
        <v>21217</v>
      </c>
      <c r="K23" s="29"/>
      <c r="L23" s="28">
        <v>0.25</v>
      </c>
      <c r="M23" s="20"/>
      <c r="N23" s="29">
        <v>30692</v>
      </c>
      <c r="O23" s="29"/>
      <c r="P23" s="32">
        <v>0.5</v>
      </c>
    </row>
    <row r="24" spans="1:16" ht="12.75">
      <c r="A24" s="19" t="s">
        <v>17</v>
      </c>
      <c r="B24" s="24">
        <v>0</v>
      </c>
      <c r="C24" s="29"/>
      <c r="D24" s="32"/>
      <c r="E24" s="33"/>
      <c r="F24" s="29">
        <v>0</v>
      </c>
      <c r="G24" s="29"/>
      <c r="H24" s="32"/>
      <c r="I24" s="20"/>
      <c r="J24" s="29">
        <v>5500</v>
      </c>
      <c r="K24" s="29"/>
      <c r="L24" s="28"/>
      <c r="M24" s="20"/>
      <c r="N24" s="29">
        <v>0</v>
      </c>
      <c r="O24" s="29"/>
      <c r="P24" s="32"/>
    </row>
    <row r="25" spans="1:16" ht="12.75">
      <c r="A25" s="19" t="s">
        <v>18</v>
      </c>
      <c r="B25" s="24">
        <v>0</v>
      </c>
      <c r="C25" s="29"/>
      <c r="D25" s="32"/>
      <c r="E25" s="33"/>
      <c r="F25" s="29">
        <v>0</v>
      </c>
      <c r="G25" s="29"/>
      <c r="H25" s="32"/>
      <c r="I25" s="20"/>
      <c r="J25" s="29">
        <v>540</v>
      </c>
      <c r="K25" s="29"/>
      <c r="L25" s="28"/>
      <c r="M25" s="20"/>
      <c r="N25" s="29">
        <v>480</v>
      </c>
      <c r="O25" s="29"/>
      <c r="P25" s="32"/>
    </row>
    <row r="26" spans="1:16" ht="12.75">
      <c r="A26" s="19" t="s">
        <v>19</v>
      </c>
      <c r="B26" s="24">
        <v>0</v>
      </c>
      <c r="C26" s="29"/>
      <c r="D26" s="32"/>
      <c r="E26" s="33"/>
      <c r="F26" s="29">
        <v>0</v>
      </c>
      <c r="G26" s="29"/>
      <c r="H26" s="32"/>
      <c r="I26" s="20"/>
      <c r="J26" s="29">
        <v>10000</v>
      </c>
      <c r="K26" s="29"/>
      <c r="L26" s="28"/>
      <c r="M26" s="20"/>
      <c r="N26" s="29">
        <v>0</v>
      </c>
      <c r="O26" s="29"/>
      <c r="P26" s="32"/>
    </row>
    <row r="27" spans="1:16" ht="12.75">
      <c r="A27" s="19" t="s">
        <v>20</v>
      </c>
      <c r="B27" s="24">
        <v>0</v>
      </c>
      <c r="C27" s="29"/>
      <c r="D27" s="32"/>
      <c r="E27" s="33"/>
      <c r="F27" s="29">
        <v>761.59</v>
      </c>
      <c r="G27" s="29"/>
      <c r="H27" s="32"/>
      <c r="I27" s="20"/>
      <c r="J27" s="29">
        <f>9680-F27</f>
        <v>8918.41</v>
      </c>
      <c r="K27" s="29"/>
      <c r="L27" s="28"/>
      <c r="M27" s="20"/>
      <c r="N27" s="29">
        <v>7980</v>
      </c>
      <c r="O27" s="29"/>
      <c r="P27" s="32"/>
    </row>
    <row r="28" spans="1:16" ht="12.75">
      <c r="A28" s="19" t="s">
        <v>21</v>
      </c>
      <c r="B28" s="24">
        <v>0</v>
      </c>
      <c r="C28" s="29"/>
      <c r="D28" s="32"/>
      <c r="E28" s="33"/>
      <c r="F28" s="29">
        <v>0</v>
      </c>
      <c r="G28" s="29"/>
      <c r="H28" s="32"/>
      <c r="I28" s="20"/>
      <c r="J28" s="29">
        <v>4000</v>
      </c>
      <c r="K28" s="29"/>
      <c r="L28" s="28"/>
      <c r="M28" s="20"/>
      <c r="N28" s="29">
        <v>4500</v>
      </c>
      <c r="O28" s="29"/>
      <c r="P28" s="32"/>
    </row>
    <row r="29" spans="1:16" ht="12.75">
      <c r="A29" s="19"/>
      <c r="B29" s="24"/>
      <c r="C29" s="29"/>
      <c r="D29" s="32"/>
      <c r="E29" s="33"/>
      <c r="F29" s="29"/>
      <c r="G29" s="29"/>
      <c r="H29" s="32"/>
      <c r="I29" s="20"/>
      <c r="J29" s="29"/>
      <c r="K29" s="29"/>
      <c r="L29" s="28"/>
      <c r="M29" s="20"/>
      <c r="N29" s="29"/>
      <c r="O29" s="29"/>
      <c r="P29" s="32"/>
    </row>
    <row r="30" spans="1:16" ht="12.75">
      <c r="A30" s="19" t="s">
        <v>28</v>
      </c>
      <c r="B30" s="24">
        <v>0</v>
      </c>
      <c r="C30" s="29"/>
      <c r="D30" s="32"/>
      <c r="E30" s="33"/>
      <c r="F30" s="29">
        <v>0</v>
      </c>
      <c r="G30" s="29"/>
      <c r="H30" s="32"/>
      <c r="I30" s="20"/>
      <c r="J30" s="29">
        <v>10000</v>
      </c>
      <c r="K30" s="29"/>
      <c r="L30" s="28"/>
      <c r="M30" s="20"/>
      <c r="N30" s="29">
        <v>0</v>
      </c>
      <c r="O30" s="29"/>
      <c r="P30" s="32"/>
    </row>
    <row r="31" spans="1:16" ht="12.75">
      <c r="A31" s="19" t="s">
        <v>29</v>
      </c>
      <c r="B31" s="24">
        <v>0</v>
      </c>
      <c r="C31" s="29"/>
      <c r="D31" s="32"/>
      <c r="E31" s="33"/>
      <c r="F31" s="29">
        <v>0</v>
      </c>
      <c r="G31" s="29"/>
      <c r="H31" s="32"/>
      <c r="I31" s="20"/>
      <c r="J31" s="29">
        <v>0</v>
      </c>
      <c r="K31" s="29"/>
      <c r="L31" s="28"/>
      <c r="M31" s="20"/>
      <c r="N31" s="29">
        <v>5000</v>
      </c>
      <c r="O31" s="29"/>
      <c r="P31" s="32"/>
    </row>
    <row r="32" spans="1:16" ht="12.75">
      <c r="A32" s="19" t="s">
        <v>30</v>
      </c>
      <c r="B32" s="24">
        <v>0</v>
      </c>
      <c r="C32" s="29"/>
      <c r="D32" s="32"/>
      <c r="E32" s="33"/>
      <c r="F32" s="29">
        <v>0</v>
      </c>
      <c r="G32" s="29"/>
      <c r="H32" s="32"/>
      <c r="I32" s="20"/>
      <c r="J32" s="29">
        <v>5000</v>
      </c>
      <c r="K32" s="29"/>
      <c r="L32" s="28"/>
      <c r="M32" s="20"/>
      <c r="N32" s="29">
        <v>5000</v>
      </c>
      <c r="O32" s="29"/>
      <c r="P32" s="32"/>
    </row>
    <row r="33" spans="1:16" ht="12.75">
      <c r="A33" s="19"/>
      <c r="B33" s="24"/>
      <c r="C33" s="29"/>
      <c r="D33" s="32"/>
      <c r="E33" s="33"/>
      <c r="F33" s="29"/>
      <c r="G33" s="29"/>
      <c r="H33" s="32"/>
      <c r="I33" s="20"/>
      <c r="J33" s="29"/>
      <c r="K33" s="29"/>
      <c r="L33" s="28"/>
      <c r="M33" s="20"/>
      <c r="N33" s="29"/>
      <c r="O33" s="29"/>
      <c r="P33" s="32"/>
    </row>
    <row r="34" spans="1:16" ht="12.75">
      <c r="A34" s="38" t="s">
        <v>35</v>
      </c>
      <c r="B34" s="24"/>
      <c r="C34" s="29"/>
      <c r="D34" s="32"/>
      <c r="E34" s="33"/>
      <c r="F34" s="29"/>
      <c r="G34" s="29"/>
      <c r="H34" s="32"/>
      <c r="I34" s="20"/>
      <c r="J34" s="29"/>
      <c r="K34" s="29"/>
      <c r="L34" s="28"/>
      <c r="M34" s="20"/>
      <c r="N34" s="29"/>
      <c r="O34" s="29"/>
      <c r="P34" s="32"/>
    </row>
    <row r="35" spans="1:16" ht="12.75">
      <c r="A35" s="19" t="s">
        <v>31</v>
      </c>
      <c r="B35" s="24"/>
      <c r="C35" s="29"/>
      <c r="D35" s="32"/>
      <c r="E35" s="33"/>
      <c r="F35" s="29"/>
      <c r="G35" s="29"/>
      <c r="H35" s="32"/>
      <c r="I35" s="20"/>
      <c r="J35" s="29"/>
      <c r="K35" s="29"/>
      <c r="L35" s="28"/>
      <c r="M35" s="20"/>
      <c r="N35" s="29"/>
      <c r="O35" s="29"/>
      <c r="P35" s="32"/>
    </row>
    <row r="36" spans="1:16" ht="12.75">
      <c r="A36" s="19" t="s">
        <v>32</v>
      </c>
      <c r="B36" s="24"/>
      <c r="C36" s="29"/>
      <c r="D36" s="32"/>
      <c r="E36" s="33"/>
      <c r="F36" s="29"/>
      <c r="G36" s="29"/>
      <c r="H36" s="32"/>
      <c r="I36" s="20"/>
      <c r="J36" s="29"/>
      <c r="K36" s="29"/>
      <c r="L36" s="28"/>
      <c r="M36" s="20"/>
      <c r="N36" s="29"/>
      <c r="O36" s="29"/>
      <c r="P36" s="32"/>
    </row>
    <row r="37" spans="1:16" ht="12.75">
      <c r="A37" s="19" t="s">
        <v>33</v>
      </c>
      <c r="B37" s="24"/>
      <c r="C37" s="29"/>
      <c r="D37" s="32"/>
      <c r="E37" s="33"/>
      <c r="F37" s="29"/>
      <c r="G37" s="29"/>
      <c r="H37" s="32"/>
      <c r="I37" s="20"/>
      <c r="J37" s="29"/>
      <c r="K37" s="29"/>
      <c r="L37" s="28"/>
      <c r="M37" s="20"/>
      <c r="N37" s="29"/>
      <c r="O37" s="29"/>
      <c r="P37" s="32"/>
    </row>
    <row r="38" spans="1:16" ht="12.75">
      <c r="A38" s="19" t="s">
        <v>34</v>
      </c>
      <c r="B38" s="24"/>
      <c r="C38" s="29"/>
      <c r="D38" s="32"/>
      <c r="E38" s="33"/>
      <c r="F38" s="29"/>
      <c r="G38" s="29"/>
      <c r="H38" s="32"/>
      <c r="I38" s="20"/>
      <c r="J38" s="29"/>
      <c r="K38" s="29"/>
      <c r="L38" s="28"/>
      <c r="M38" s="20"/>
      <c r="N38" s="29"/>
      <c r="O38" s="29"/>
      <c r="P38" s="32"/>
    </row>
    <row r="39" spans="1:16" ht="12.75">
      <c r="A39" s="19"/>
      <c r="B39" s="24"/>
      <c r="C39" s="29"/>
      <c r="D39" s="32"/>
      <c r="E39" s="33"/>
      <c r="F39" s="29"/>
      <c r="G39" s="29"/>
      <c r="H39" s="32"/>
      <c r="I39" s="20"/>
      <c r="J39" s="29"/>
      <c r="K39" s="29"/>
      <c r="L39" s="28"/>
      <c r="M39" s="20"/>
      <c r="N39" s="29"/>
      <c r="O39" s="29"/>
      <c r="P39" s="32"/>
    </row>
    <row r="40" spans="1:16" ht="12.75">
      <c r="A40" s="19"/>
      <c r="B40" s="24"/>
      <c r="C40" s="29"/>
      <c r="D40" s="32"/>
      <c r="E40" s="33"/>
      <c r="F40" s="29"/>
      <c r="G40" s="29"/>
      <c r="H40" s="32"/>
      <c r="I40" s="20"/>
      <c r="J40" s="26"/>
      <c r="K40" s="26"/>
      <c r="L40" s="28"/>
      <c r="M40" s="20"/>
      <c r="N40" s="29"/>
      <c r="O40" s="29"/>
      <c r="P40" s="32"/>
    </row>
    <row r="41" spans="1:16" ht="12.75">
      <c r="A41" s="18" t="s">
        <v>5</v>
      </c>
      <c r="B41" s="29">
        <f>SUM(B19:B40)</f>
        <v>0</v>
      </c>
      <c r="C41" s="29">
        <f>SUM(C19:C40)</f>
        <v>0</v>
      </c>
      <c r="D41" s="29">
        <f>SUM(D19:D40)</f>
        <v>0</v>
      </c>
      <c r="E41" s="29"/>
      <c r="F41" s="29">
        <f>SUM(F19:F40)</f>
        <v>761.59</v>
      </c>
      <c r="G41" s="29">
        <f>SUM(G19:G40)</f>
        <v>0</v>
      </c>
      <c r="H41" s="29">
        <f>SUM(H19:H40)</f>
        <v>0</v>
      </c>
      <c r="I41" s="26"/>
      <c r="J41" s="29">
        <f>SUM(J19:J40)</f>
        <v>137727.41</v>
      </c>
      <c r="K41" s="29">
        <f>SUM(K25:K40)</f>
        <v>0</v>
      </c>
      <c r="L41" s="29">
        <f>SUM(L25:L40)</f>
        <v>0</v>
      </c>
      <c r="M41" s="26"/>
      <c r="N41" s="29">
        <f>SUM(N19:N32)</f>
        <v>155612</v>
      </c>
      <c r="O41" s="29">
        <f>SUM(O25:O40)</f>
        <v>0</v>
      </c>
      <c r="P41" s="29">
        <f>SUM(P19:P40)</f>
        <v>2.5</v>
      </c>
    </row>
    <row r="42" spans="1:16" ht="12.75">
      <c r="A42" s="18"/>
      <c r="B42" s="29"/>
      <c r="C42" s="29"/>
      <c r="D42" s="29"/>
      <c r="E42" s="29"/>
      <c r="F42" s="29"/>
      <c r="G42" s="29"/>
      <c r="H42" s="29"/>
      <c r="I42" s="26"/>
      <c r="J42" s="29"/>
      <c r="K42" s="29"/>
      <c r="L42" s="29"/>
      <c r="M42" s="26"/>
      <c r="N42" s="29"/>
      <c r="O42" s="29"/>
      <c r="P42" s="29"/>
    </row>
    <row r="43" spans="1:16" ht="12.75">
      <c r="A43" s="18" t="s">
        <v>6</v>
      </c>
      <c r="B43" s="29">
        <f>B15+B41</f>
        <v>0</v>
      </c>
      <c r="C43" s="29">
        <f>C15+C41</f>
        <v>0</v>
      </c>
      <c r="D43" s="29">
        <f>D15+D41</f>
        <v>0</v>
      </c>
      <c r="E43" s="29"/>
      <c r="F43" s="29">
        <f>F15+F41</f>
        <v>761.59</v>
      </c>
      <c r="G43" s="29">
        <f>G15+G41</f>
        <v>0</v>
      </c>
      <c r="H43" s="29">
        <f>H15+H41</f>
        <v>0</v>
      </c>
      <c r="I43" s="26"/>
      <c r="J43" s="29">
        <f>J15+J41</f>
        <v>311813.41000000003</v>
      </c>
      <c r="K43" s="29">
        <f>K15+K41</f>
        <v>0</v>
      </c>
      <c r="L43" s="29">
        <f>L15+L41</f>
        <v>0</v>
      </c>
      <c r="M43" s="26"/>
      <c r="N43" s="29">
        <f>N15+N41</f>
        <v>622384</v>
      </c>
      <c r="O43" s="29">
        <f>O15+O41</f>
        <v>0</v>
      </c>
      <c r="P43" s="29">
        <f>P15+P41</f>
        <v>2.5</v>
      </c>
    </row>
    <row r="45" ht="12.75">
      <c r="A45" s="2" t="s">
        <v>42</v>
      </c>
    </row>
  </sheetData>
  <printOptions/>
  <pageMargins left="0" right="0" top="0.5" bottom="0.5" header="0.5" footer="0.5"/>
  <pageSetup cellComments="atEnd" horizontalDpi="600" verticalDpi="600" orientation="landscape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A13" sqref="A13"/>
    </sheetView>
  </sheetViews>
  <sheetFormatPr defaultColWidth="9.140625" defaultRowHeight="12.75"/>
  <cols>
    <col min="1" max="1" width="45.7109375" style="0" customWidth="1"/>
    <col min="2" max="3" width="10.7109375" style="0" customWidth="1"/>
    <col min="4" max="4" width="5.7109375" style="0" customWidth="1"/>
    <col min="5" max="5" width="2.00390625" style="0" customWidth="1"/>
    <col min="6" max="6" width="11.7109375" style="0" customWidth="1"/>
    <col min="7" max="7" width="10.7109375" style="0" customWidth="1"/>
    <col min="8" max="8" width="5.7109375" style="0" customWidth="1"/>
    <col min="9" max="9" width="2.00390625" style="0" customWidth="1"/>
    <col min="10" max="10" width="11.7109375" style="0" customWidth="1"/>
    <col min="11" max="11" width="10.7109375" style="0" customWidth="1"/>
    <col min="12" max="12" width="5.7109375" style="0" customWidth="1"/>
    <col min="13" max="13" width="1.421875" style="0" customWidth="1"/>
    <col min="14" max="14" width="11.7109375" style="0" customWidth="1"/>
    <col min="15" max="15" width="10.7109375" style="0" customWidth="1"/>
    <col min="16" max="16" width="5.7109375" style="0" customWidth="1"/>
  </cols>
  <sheetData>
    <row r="1" spans="1:2" ht="15.75">
      <c r="A1" s="37">
        <v>37442</v>
      </c>
      <c r="B1" s="1" t="s">
        <v>0</v>
      </c>
    </row>
    <row r="2" ht="12.75">
      <c r="B2" s="2" t="s">
        <v>40</v>
      </c>
    </row>
    <row r="4" ht="13.5" thickBot="1"/>
    <row r="5" spans="1:16" ht="12.75">
      <c r="A5" s="3"/>
      <c r="B5" s="3"/>
      <c r="C5" s="4"/>
      <c r="D5" s="5"/>
      <c r="E5" s="8"/>
      <c r="F5" s="6" t="s">
        <v>4</v>
      </c>
      <c r="G5" s="6"/>
      <c r="H5" s="6"/>
      <c r="I5" s="9"/>
      <c r="J5" s="4">
        <v>2003</v>
      </c>
      <c r="K5" s="4"/>
      <c r="L5" s="5"/>
      <c r="M5" s="8"/>
      <c r="N5" s="6">
        <v>2004</v>
      </c>
      <c r="O5" s="6"/>
      <c r="P5" s="7"/>
    </row>
    <row r="6" spans="1:16" ht="25.5">
      <c r="A6" s="10" t="s">
        <v>1</v>
      </c>
      <c r="B6" s="36" t="s">
        <v>39</v>
      </c>
      <c r="C6" s="11" t="s">
        <v>7</v>
      </c>
      <c r="D6" s="11" t="s">
        <v>3</v>
      </c>
      <c r="E6" s="12"/>
      <c r="F6" s="40" t="s">
        <v>37</v>
      </c>
      <c r="G6" s="13" t="s">
        <v>7</v>
      </c>
      <c r="H6" s="14" t="s">
        <v>3</v>
      </c>
      <c r="I6" s="15"/>
      <c r="J6" s="41" t="s">
        <v>37</v>
      </c>
      <c r="K6" s="13" t="s">
        <v>7</v>
      </c>
      <c r="L6" s="14" t="s">
        <v>3</v>
      </c>
      <c r="M6" s="12"/>
      <c r="N6" s="41" t="s">
        <v>37</v>
      </c>
      <c r="O6" s="13" t="s">
        <v>7</v>
      </c>
      <c r="P6" s="16" t="s">
        <v>3</v>
      </c>
    </row>
    <row r="7" spans="1:16" ht="12.75">
      <c r="A7" s="19" t="s">
        <v>22</v>
      </c>
      <c r="B7" s="24"/>
      <c r="C7" s="29"/>
      <c r="D7" s="32"/>
      <c r="E7" s="33"/>
      <c r="F7" s="30"/>
      <c r="G7" s="30"/>
      <c r="H7" s="34"/>
      <c r="I7" s="23"/>
      <c r="J7" s="29">
        <v>28989</v>
      </c>
      <c r="K7" s="29"/>
      <c r="L7" s="27">
        <v>0.75</v>
      </c>
      <c r="M7" s="22"/>
      <c r="N7" s="29">
        <v>65242</v>
      </c>
      <c r="O7" s="29"/>
      <c r="P7" s="32">
        <v>1.5</v>
      </c>
    </row>
    <row r="8" spans="1:16" ht="12.75">
      <c r="A8" s="19" t="s">
        <v>43</v>
      </c>
      <c r="B8" s="24"/>
      <c r="C8" s="29"/>
      <c r="D8" s="32"/>
      <c r="E8" s="33"/>
      <c r="F8" s="30"/>
      <c r="G8" s="30"/>
      <c r="H8" s="34"/>
      <c r="I8" s="23"/>
      <c r="J8" s="29">
        <v>18200.3</v>
      </c>
      <c r="K8" s="29"/>
      <c r="L8" s="27"/>
      <c r="M8" s="22"/>
      <c r="N8" s="29">
        <v>18200.35</v>
      </c>
      <c r="O8" s="29"/>
      <c r="P8" s="32"/>
    </row>
    <row r="9" spans="1:16" ht="12.75">
      <c r="A9" s="19" t="s">
        <v>44</v>
      </c>
      <c r="B9" s="24"/>
      <c r="C9" s="29"/>
      <c r="D9" s="32"/>
      <c r="E9" s="33"/>
      <c r="F9" s="30"/>
      <c r="G9" s="30"/>
      <c r="H9" s="34"/>
      <c r="I9" s="23"/>
      <c r="J9" s="29">
        <v>3000</v>
      </c>
      <c r="K9" s="29"/>
      <c r="L9" s="27"/>
      <c r="M9" s="22"/>
      <c r="N9" s="29">
        <v>4000</v>
      </c>
      <c r="O9" s="29"/>
      <c r="P9" s="32"/>
    </row>
    <row r="10" spans="1:16" ht="12.75">
      <c r="A10" s="19" t="s">
        <v>45</v>
      </c>
      <c r="B10" s="24"/>
      <c r="C10" s="29"/>
      <c r="D10" s="32"/>
      <c r="E10" s="33"/>
      <c r="F10" s="30"/>
      <c r="G10" s="30"/>
      <c r="H10" s="34"/>
      <c r="I10" s="23"/>
      <c r="J10" s="29"/>
      <c r="K10" s="29"/>
      <c r="L10" s="27"/>
      <c r="M10" s="22"/>
      <c r="N10" s="29">
        <v>5400</v>
      </c>
      <c r="O10" s="29"/>
      <c r="P10" s="32"/>
    </row>
    <row r="11" spans="1:16" ht="12.75">
      <c r="A11" s="19" t="s">
        <v>46</v>
      </c>
      <c r="B11" s="24"/>
      <c r="C11" s="29"/>
      <c r="D11" s="32"/>
      <c r="E11" s="33"/>
      <c r="F11" s="30"/>
      <c r="G11" s="30"/>
      <c r="H11" s="34"/>
      <c r="I11" s="23"/>
      <c r="J11" s="29"/>
      <c r="K11" s="29"/>
      <c r="L11" s="27"/>
      <c r="M11" s="22"/>
      <c r="N11" s="29">
        <v>12515.22</v>
      </c>
      <c r="O11" s="29"/>
      <c r="P11" s="32"/>
    </row>
    <row r="12" spans="1:16" ht="12.75">
      <c r="A12" s="19" t="s">
        <v>25</v>
      </c>
      <c r="B12" s="24"/>
      <c r="C12" s="29"/>
      <c r="D12" s="32"/>
      <c r="E12" s="33"/>
      <c r="F12" s="30"/>
      <c r="G12" s="30"/>
      <c r="H12" s="34"/>
      <c r="I12" s="23"/>
      <c r="J12" s="29">
        <v>11641</v>
      </c>
      <c r="K12" s="29"/>
      <c r="L12" s="27">
        <v>0.5</v>
      </c>
      <c r="M12" s="22"/>
      <c r="N12" s="29">
        <v>11641</v>
      </c>
      <c r="O12" s="29"/>
      <c r="P12" s="32">
        <v>0.5</v>
      </c>
    </row>
    <row r="13" spans="1:16" ht="12.75">
      <c r="A13" s="19" t="s">
        <v>26</v>
      </c>
      <c r="B13" s="24"/>
      <c r="C13" s="29"/>
      <c r="D13" s="32"/>
      <c r="E13" s="33"/>
      <c r="F13" s="30"/>
      <c r="G13" s="30"/>
      <c r="H13" s="34"/>
      <c r="I13" s="23"/>
      <c r="J13" s="29">
        <v>5820</v>
      </c>
      <c r="K13" s="29"/>
      <c r="L13" s="27">
        <v>0.25</v>
      </c>
      <c r="M13" s="22"/>
      <c r="N13" s="29">
        <v>17461</v>
      </c>
      <c r="O13" s="29"/>
      <c r="P13" s="32">
        <v>0.5</v>
      </c>
    </row>
    <row r="14" spans="1:16" ht="12.75">
      <c r="A14" s="19"/>
      <c r="B14" s="24"/>
      <c r="C14" s="29"/>
      <c r="D14" s="32"/>
      <c r="E14" s="33"/>
      <c r="F14" s="30"/>
      <c r="G14" s="30"/>
      <c r="H14" s="34"/>
      <c r="I14" s="23"/>
      <c r="J14" s="29"/>
      <c r="K14" s="29"/>
      <c r="L14" s="27"/>
      <c r="M14" s="22"/>
      <c r="N14" s="29"/>
      <c r="O14" s="29"/>
      <c r="P14" s="32"/>
    </row>
    <row r="15" spans="1:16" ht="12.75">
      <c r="A15" s="19"/>
      <c r="B15" s="24"/>
      <c r="C15" s="29"/>
      <c r="D15" s="32"/>
      <c r="E15" s="33"/>
      <c r="F15" s="29"/>
      <c r="G15" s="29"/>
      <c r="H15" s="32"/>
      <c r="I15" s="20"/>
      <c r="J15" s="29"/>
      <c r="K15" s="29"/>
      <c r="L15" s="28"/>
      <c r="M15" s="20"/>
      <c r="N15" s="29"/>
      <c r="O15" s="29"/>
      <c r="P15" s="32"/>
    </row>
    <row r="16" spans="1:16" ht="12.75">
      <c r="A16" s="19" t="s">
        <v>5</v>
      </c>
      <c r="B16" s="24">
        <v>0</v>
      </c>
      <c r="C16" s="29">
        <v>0</v>
      </c>
      <c r="D16" s="32">
        <v>0</v>
      </c>
      <c r="E16" s="33"/>
      <c r="F16" s="29">
        <v>0</v>
      </c>
      <c r="G16" s="29">
        <v>0</v>
      </c>
      <c r="H16" s="32">
        <v>0</v>
      </c>
      <c r="I16" s="20"/>
      <c r="J16" s="29">
        <v>67650.3</v>
      </c>
      <c r="K16" s="29">
        <v>0</v>
      </c>
      <c r="L16" s="28">
        <v>1.5</v>
      </c>
      <c r="M16" s="20"/>
      <c r="N16" s="29">
        <v>134459.57</v>
      </c>
      <c r="O16" s="29">
        <v>0</v>
      </c>
      <c r="P16" s="32">
        <v>1.5</v>
      </c>
    </row>
    <row r="17" spans="1:16" ht="12.75">
      <c r="A17" s="19"/>
      <c r="B17" s="24"/>
      <c r="C17" s="29"/>
      <c r="D17" s="32"/>
      <c r="E17" s="33"/>
      <c r="F17" s="29"/>
      <c r="G17" s="29"/>
      <c r="H17" s="32"/>
      <c r="I17" s="20"/>
      <c r="J17" s="29"/>
      <c r="K17" s="29"/>
      <c r="L17" s="28"/>
      <c r="M17" s="20"/>
      <c r="N17" s="29"/>
      <c r="O17" s="29"/>
      <c r="P17" s="32"/>
    </row>
    <row r="18" spans="1:16" ht="12.75">
      <c r="A18" s="19" t="s">
        <v>2</v>
      </c>
      <c r="B18" s="24"/>
      <c r="C18" s="29"/>
      <c r="D18" s="32"/>
      <c r="E18" s="33"/>
      <c r="F18" s="29"/>
      <c r="G18" s="29"/>
      <c r="H18" s="32"/>
      <c r="I18" s="20"/>
      <c r="J18" s="29"/>
      <c r="K18" s="29"/>
      <c r="L18" s="28"/>
      <c r="M18" s="20"/>
      <c r="N18" s="29"/>
      <c r="O18" s="29"/>
      <c r="P18" s="32"/>
    </row>
    <row r="19" spans="1:16" ht="12.75">
      <c r="A19" s="19"/>
      <c r="B19" s="24"/>
      <c r="C19" s="29"/>
      <c r="D19" s="32"/>
      <c r="E19" s="33"/>
      <c r="F19" s="29"/>
      <c r="G19" s="29"/>
      <c r="H19" s="32"/>
      <c r="I19" s="20"/>
      <c r="J19" s="29"/>
      <c r="K19" s="29"/>
      <c r="L19" s="28"/>
      <c r="M19" s="20"/>
      <c r="N19" s="29"/>
      <c r="O19" s="29"/>
      <c r="P19" s="32"/>
    </row>
    <row r="20" spans="1:16" ht="12.75">
      <c r="A20" s="18" t="s">
        <v>27</v>
      </c>
      <c r="B20" s="29"/>
      <c r="C20" s="29"/>
      <c r="D20" s="29"/>
      <c r="E20" s="29"/>
      <c r="F20" s="29"/>
      <c r="G20" s="29"/>
      <c r="H20" s="29"/>
      <c r="I20" s="20"/>
      <c r="J20" s="29">
        <v>3000</v>
      </c>
      <c r="K20" s="29"/>
      <c r="L20" s="29"/>
      <c r="M20" s="20"/>
      <c r="N20" s="29"/>
      <c r="O20" s="29"/>
      <c r="P20" s="29"/>
    </row>
    <row r="21" spans="1:16" ht="12.75">
      <c r="A21" s="18"/>
      <c r="B21" s="35"/>
      <c r="C21" s="29"/>
      <c r="D21" s="32"/>
      <c r="E21" s="33"/>
      <c r="F21" s="29"/>
      <c r="G21" s="29"/>
      <c r="H21" s="32"/>
      <c r="I21" s="20"/>
      <c r="J21" s="29"/>
      <c r="K21" s="29"/>
      <c r="L21" s="28"/>
      <c r="M21" s="20"/>
      <c r="N21" s="29"/>
      <c r="O21" s="29"/>
      <c r="P21" s="32"/>
    </row>
    <row r="22" spans="1:16" ht="12.75">
      <c r="A22" s="17" t="s">
        <v>5</v>
      </c>
      <c r="B22" s="25" t="s">
        <v>47</v>
      </c>
      <c r="C22" s="29" t="s">
        <v>47</v>
      </c>
      <c r="D22" s="32">
        <v>0</v>
      </c>
      <c r="E22" s="33"/>
      <c r="F22" s="29" t="s">
        <v>47</v>
      </c>
      <c r="G22" s="29" t="s">
        <v>47</v>
      </c>
      <c r="H22" s="32">
        <v>0</v>
      </c>
      <c r="I22" s="20"/>
      <c r="J22" s="29">
        <v>3000</v>
      </c>
      <c r="K22" s="29" t="s">
        <v>47</v>
      </c>
      <c r="L22" s="28">
        <v>2</v>
      </c>
      <c r="M22" s="20"/>
      <c r="N22" s="29" t="s">
        <v>47</v>
      </c>
      <c r="O22" s="29" t="s">
        <v>47</v>
      </c>
      <c r="P22" s="32">
        <v>1</v>
      </c>
    </row>
    <row r="23" spans="1:16" ht="12.75">
      <c r="A23" s="19" t="s">
        <v>6</v>
      </c>
      <c r="B23" s="24" t="s">
        <v>47</v>
      </c>
      <c r="C23" s="29" t="s">
        <v>47</v>
      </c>
      <c r="D23" s="32">
        <v>0</v>
      </c>
      <c r="E23" s="33"/>
      <c r="F23" s="29" t="s">
        <v>47</v>
      </c>
      <c r="G23" s="29" t="s">
        <v>47</v>
      </c>
      <c r="H23" s="32">
        <v>0</v>
      </c>
      <c r="I23" s="20"/>
      <c r="J23" s="29">
        <v>70650</v>
      </c>
      <c r="K23" s="29" t="s">
        <v>47</v>
      </c>
      <c r="L23" s="28"/>
      <c r="M23" s="20"/>
      <c r="N23" s="29">
        <v>134460</v>
      </c>
      <c r="O23" s="29" t="s">
        <v>47</v>
      </c>
      <c r="P23" s="32">
        <v>2.5</v>
      </c>
    </row>
    <row r="24" spans="1:16" ht="12.75">
      <c r="A24" s="19"/>
      <c r="B24" s="24"/>
      <c r="C24" s="29"/>
      <c r="D24" s="32"/>
      <c r="E24" s="33"/>
      <c r="F24" s="31"/>
      <c r="G24" s="29"/>
      <c r="H24" s="32"/>
      <c r="I24" s="20"/>
      <c r="J24" s="29"/>
      <c r="K24" s="29"/>
      <c r="L24" s="28"/>
      <c r="M24" s="20"/>
      <c r="N24" s="29"/>
      <c r="O24" s="29"/>
      <c r="P24" s="32"/>
    </row>
    <row r="25" spans="1:16" ht="12.75">
      <c r="A25" s="19"/>
      <c r="B25" s="24"/>
      <c r="C25" s="29"/>
      <c r="D25" s="32"/>
      <c r="E25" s="33"/>
      <c r="F25" s="31"/>
      <c r="G25" s="29"/>
      <c r="H25" s="32"/>
      <c r="I25" s="20"/>
      <c r="J25" s="29"/>
      <c r="K25" s="29"/>
      <c r="L25" s="28"/>
      <c r="M25" s="20"/>
      <c r="N25" s="29"/>
      <c r="O25" s="29"/>
      <c r="P25" s="32"/>
    </row>
    <row r="26" spans="1:16" ht="12.75">
      <c r="A26" s="19"/>
      <c r="B26" s="24"/>
      <c r="C26" s="29"/>
      <c r="D26" s="32"/>
      <c r="E26" s="33"/>
      <c r="F26" s="29"/>
      <c r="G26" s="29"/>
      <c r="H26" s="32"/>
      <c r="I26" s="20"/>
      <c r="J26" s="29"/>
      <c r="K26" s="29"/>
      <c r="L26" s="28"/>
      <c r="M26" s="20"/>
      <c r="N26" s="29"/>
      <c r="O26" s="29"/>
      <c r="P26" s="32"/>
    </row>
    <row r="27" spans="1:16" ht="12.75">
      <c r="A27" s="19"/>
      <c r="B27" s="24"/>
      <c r="C27" s="29"/>
      <c r="D27" s="32"/>
      <c r="E27" s="33"/>
      <c r="F27" s="29"/>
      <c r="G27" s="29"/>
      <c r="H27" s="32"/>
      <c r="I27" s="20"/>
      <c r="J27" s="29"/>
      <c r="K27" s="29"/>
      <c r="L27" s="28"/>
      <c r="M27" s="20"/>
      <c r="N27" s="29"/>
      <c r="O27" s="29"/>
      <c r="P27" s="32"/>
    </row>
    <row r="28" spans="1:16" ht="12.75">
      <c r="A28" s="19"/>
      <c r="B28" s="24"/>
      <c r="C28" s="29"/>
      <c r="D28" s="32"/>
      <c r="E28" s="33"/>
      <c r="F28" s="29"/>
      <c r="G28" s="29"/>
      <c r="H28" s="32"/>
      <c r="I28" s="20"/>
      <c r="J28" s="29"/>
      <c r="K28" s="29"/>
      <c r="L28" s="28"/>
      <c r="M28" s="20"/>
      <c r="N28" s="29"/>
      <c r="O28" s="29"/>
      <c r="P28" s="32"/>
    </row>
    <row r="29" spans="1:16" ht="12.75">
      <c r="A29" s="19"/>
      <c r="B29" s="24"/>
      <c r="C29" s="29"/>
      <c r="D29" s="32"/>
      <c r="E29" s="33"/>
      <c r="F29" s="29"/>
      <c r="G29" s="29"/>
      <c r="H29" s="32"/>
      <c r="I29" s="20"/>
      <c r="J29" s="29"/>
      <c r="K29" s="29"/>
      <c r="L29" s="28"/>
      <c r="M29" s="20"/>
      <c r="N29" s="29"/>
      <c r="O29" s="29"/>
      <c r="P29" s="32"/>
    </row>
    <row r="30" spans="1:16" ht="12.75">
      <c r="A30" s="19"/>
      <c r="B30" s="24"/>
      <c r="C30" s="29"/>
      <c r="D30" s="32"/>
      <c r="E30" s="33"/>
      <c r="F30" s="29"/>
      <c r="G30" s="29"/>
      <c r="H30" s="32"/>
      <c r="I30" s="20"/>
      <c r="J30" s="29"/>
      <c r="K30" s="29"/>
      <c r="L30" s="28"/>
      <c r="M30" s="20"/>
      <c r="N30" s="29"/>
      <c r="O30" s="29"/>
      <c r="P30" s="32"/>
    </row>
    <row r="31" spans="1:16" ht="12.75">
      <c r="A31" s="19"/>
      <c r="B31" s="24"/>
      <c r="C31" s="29"/>
      <c r="D31" s="32"/>
      <c r="E31" s="33"/>
      <c r="F31" s="29"/>
      <c r="G31" s="29"/>
      <c r="H31" s="32"/>
      <c r="I31" s="20"/>
      <c r="J31" s="29"/>
      <c r="K31" s="29"/>
      <c r="L31" s="28"/>
      <c r="M31" s="20"/>
      <c r="N31" s="29"/>
      <c r="O31" s="29"/>
      <c r="P31" s="32"/>
    </row>
    <row r="32" spans="1:16" ht="12.75">
      <c r="A32" s="19"/>
      <c r="B32" s="24"/>
      <c r="C32" s="29"/>
      <c r="D32" s="32"/>
      <c r="E32" s="33"/>
      <c r="F32" s="29"/>
      <c r="G32" s="29"/>
      <c r="H32" s="32"/>
      <c r="I32" s="20"/>
      <c r="J32" s="29"/>
      <c r="K32" s="29"/>
      <c r="L32" s="28"/>
      <c r="M32" s="20"/>
      <c r="N32" s="29"/>
      <c r="O32" s="29"/>
      <c r="P32" s="32"/>
    </row>
    <row r="33" spans="1:16" ht="12.75">
      <c r="A33" s="19"/>
      <c r="B33" s="24"/>
      <c r="C33" s="29"/>
      <c r="D33" s="32"/>
      <c r="E33" s="33"/>
      <c r="F33" s="29"/>
      <c r="G33" s="29"/>
      <c r="H33" s="32"/>
      <c r="I33" s="20"/>
      <c r="J33" s="29"/>
      <c r="K33" s="29"/>
      <c r="L33" s="28"/>
      <c r="M33" s="20"/>
      <c r="N33" s="29"/>
      <c r="O33" s="29"/>
      <c r="P33" s="32"/>
    </row>
    <row r="34" spans="1:16" ht="12.75">
      <c r="A34" s="19"/>
      <c r="B34" s="24"/>
      <c r="C34" s="29"/>
      <c r="D34" s="32"/>
      <c r="E34" s="33"/>
      <c r="F34" s="29"/>
      <c r="G34" s="29"/>
      <c r="H34" s="32"/>
      <c r="I34" s="20"/>
      <c r="J34" s="29"/>
      <c r="K34" s="29"/>
      <c r="L34" s="28"/>
      <c r="M34" s="20"/>
      <c r="N34" s="29"/>
      <c r="O34" s="29"/>
      <c r="P34" s="32"/>
    </row>
    <row r="35" spans="1:16" ht="12.75">
      <c r="A35" s="19"/>
      <c r="B35" s="24"/>
      <c r="C35" s="29"/>
      <c r="D35" s="32"/>
      <c r="E35" s="33"/>
      <c r="F35" s="29"/>
      <c r="G35" s="29"/>
      <c r="H35" s="32"/>
      <c r="I35" s="20"/>
      <c r="J35" s="29"/>
      <c r="K35" s="29"/>
      <c r="L35" s="28"/>
      <c r="M35" s="20"/>
      <c r="N35" s="29"/>
      <c r="O35" s="29"/>
      <c r="P35" s="32"/>
    </row>
    <row r="36" spans="1:16" ht="12.75">
      <c r="A36" s="19"/>
      <c r="B36" s="24"/>
      <c r="C36" s="29"/>
      <c r="D36" s="32"/>
      <c r="E36" s="33"/>
      <c r="F36" s="29"/>
      <c r="G36" s="29"/>
      <c r="H36" s="32"/>
      <c r="I36" s="20"/>
      <c r="J36" s="29"/>
      <c r="K36" s="29"/>
      <c r="L36" s="28"/>
      <c r="M36" s="20"/>
      <c r="N36" s="29"/>
      <c r="O36" s="29"/>
      <c r="P36" s="32"/>
    </row>
    <row r="37" spans="1:16" ht="12.75">
      <c r="A37" s="19"/>
      <c r="B37" s="24"/>
      <c r="C37" s="29"/>
      <c r="D37" s="32"/>
      <c r="E37" s="33"/>
      <c r="F37" s="29"/>
      <c r="G37" s="29"/>
      <c r="H37" s="32"/>
      <c r="I37" s="20"/>
      <c r="J37" s="29"/>
      <c r="K37" s="29"/>
      <c r="L37" s="28"/>
      <c r="M37" s="20"/>
      <c r="N37" s="29"/>
      <c r="O37" s="29"/>
      <c r="P37" s="32"/>
    </row>
    <row r="38" spans="1:16" ht="12.75">
      <c r="A38" s="19"/>
      <c r="B38" s="24"/>
      <c r="C38" s="29"/>
      <c r="D38" s="32"/>
      <c r="E38" s="33"/>
      <c r="F38" s="29"/>
      <c r="G38" s="29"/>
      <c r="H38" s="32"/>
      <c r="I38" s="20"/>
      <c r="J38" s="29"/>
      <c r="K38" s="29"/>
      <c r="L38" s="28"/>
      <c r="M38" s="20"/>
      <c r="N38" s="29"/>
      <c r="O38" s="29"/>
      <c r="P38" s="32"/>
    </row>
    <row r="39" spans="1:16" ht="12.75">
      <c r="A39" s="19"/>
      <c r="B39" s="24"/>
      <c r="C39" s="29"/>
      <c r="D39" s="32"/>
      <c r="E39" s="33"/>
      <c r="F39" s="29"/>
      <c r="G39" s="29"/>
      <c r="H39" s="32"/>
      <c r="I39" s="20"/>
      <c r="J39" s="26"/>
      <c r="K39" s="26"/>
      <c r="L39" s="28"/>
      <c r="M39" s="20"/>
      <c r="N39" s="29"/>
      <c r="O39" s="29"/>
      <c r="P39" s="32"/>
    </row>
    <row r="40" spans="1:16" ht="12.75">
      <c r="A40" s="18" t="s">
        <v>5</v>
      </c>
      <c r="B40" s="29">
        <f>SUM(B28:B39)</f>
        <v>0</v>
      </c>
      <c r="C40" s="29">
        <f>SUM(C28:C39)</f>
        <v>0</v>
      </c>
      <c r="D40" s="32">
        <f>SUM(D28:D39)</f>
        <v>0</v>
      </c>
      <c r="E40" s="33"/>
      <c r="F40" s="29">
        <f>SUM(F28:F39)</f>
        <v>0</v>
      </c>
      <c r="G40" s="29">
        <f>SUM(G28:G39)</f>
        <v>0</v>
      </c>
      <c r="H40" s="32">
        <f>SUM(H28:H39)</f>
        <v>0</v>
      </c>
      <c r="I40" s="20"/>
      <c r="J40" s="29">
        <f>SUM(J24:J39)</f>
        <v>0</v>
      </c>
      <c r="K40" s="29">
        <f>SUM(K28:K39)</f>
        <v>0</v>
      </c>
      <c r="L40" s="29">
        <f>SUM(L24:L39)</f>
        <v>0</v>
      </c>
      <c r="M40" s="20"/>
      <c r="N40" s="29">
        <f>SUM(N24:N39)</f>
        <v>0</v>
      </c>
      <c r="O40" s="29">
        <f>SUM(O28:O39)</f>
        <v>0</v>
      </c>
      <c r="P40" s="29">
        <f>SUM(P24:P39)</f>
        <v>0</v>
      </c>
    </row>
    <row r="41" spans="1:16" ht="12.75">
      <c r="A41" s="18" t="s">
        <v>6</v>
      </c>
      <c r="B41" s="29">
        <f>B20+B40</f>
        <v>0</v>
      </c>
      <c r="C41" s="29">
        <f>C20+C40</f>
        <v>0</v>
      </c>
      <c r="D41" s="32">
        <f>D20+D40</f>
        <v>0</v>
      </c>
      <c r="E41" s="33"/>
      <c r="F41" s="29">
        <f>F20+F40</f>
        <v>0</v>
      </c>
      <c r="G41" s="29">
        <f>G20+G40</f>
        <v>0</v>
      </c>
      <c r="H41" s="32">
        <f>H20+H40</f>
        <v>0</v>
      </c>
      <c r="I41" s="20"/>
      <c r="J41" s="29">
        <f>J20+J40</f>
        <v>3000</v>
      </c>
      <c r="K41" s="29">
        <f>K20+K40</f>
        <v>0</v>
      </c>
      <c r="L41" s="32">
        <f>L20+L40</f>
        <v>0</v>
      </c>
      <c r="M41" s="20"/>
      <c r="N41" s="29">
        <f>N20+N40</f>
        <v>0</v>
      </c>
      <c r="O41" s="29">
        <f>O20+O40</f>
        <v>0</v>
      </c>
      <c r="P41" s="32">
        <f>P20+P40</f>
        <v>0</v>
      </c>
    </row>
  </sheetData>
  <printOptions/>
  <pageMargins left="0" right="0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7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8.7109375" style="0" customWidth="1"/>
    <col min="2" max="3" width="10.7109375" style="0" customWidth="1"/>
    <col min="4" max="4" width="2.7109375" style="0" customWidth="1"/>
    <col min="5" max="6" width="10.7109375" style="0" customWidth="1"/>
    <col min="7" max="7" width="2.7109375" style="0" customWidth="1"/>
    <col min="8" max="9" width="10.7109375" style="0" customWidth="1"/>
    <col min="10" max="10" width="10.00390625" style="0" customWidth="1"/>
    <col min="11" max="11" width="10.421875" style="0" customWidth="1"/>
  </cols>
  <sheetData>
    <row r="1" ht="12.75">
      <c r="A1" t="s">
        <v>121</v>
      </c>
    </row>
    <row r="2" ht="12.75">
      <c r="A2" s="59">
        <v>37685</v>
      </c>
    </row>
    <row r="3" ht="12.75">
      <c r="A3" s="2" t="s">
        <v>105</v>
      </c>
    </row>
    <row r="4" spans="2:11" ht="12.75">
      <c r="B4" s="80">
        <v>2003</v>
      </c>
      <c r="C4" s="81"/>
      <c r="D4" s="2"/>
      <c r="E4" s="80">
        <v>2004</v>
      </c>
      <c r="F4" s="81"/>
      <c r="H4" s="80">
        <v>2005</v>
      </c>
      <c r="I4" s="81"/>
      <c r="J4" s="78" t="s">
        <v>113</v>
      </c>
      <c r="K4" s="79"/>
    </row>
    <row r="5" spans="1:11" s="60" customFormat="1" ht="25.5">
      <c r="A5" s="61" t="s">
        <v>85</v>
      </c>
      <c r="B5" s="67" t="s">
        <v>81</v>
      </c>
      <c r="C5" s="67" t="s">
        <v>82</v>
      </c>
      <c r="D5" s="67"/>
      <c r="E5" s="67" t="s">
        <v>81</v>
      </c>
      <c r="F5" s="67" t="s">
        <v>82</v>
      </c>
      <c r="G5" s="68"/>
      <c r="H5" s="67" t="s">
        <v>81</v>
      </c>
      <c r="I5" s="67" t="s">
        <v>82</v>
      </c>
      <c r="J5" s="67" t="s">
        <v>81</v>
      </c>
      <c r="K5" s="67" t="s">
        <v>82</v>
      </c>
    </row>
    <row r="6" spans="1:11" ht="12.75">
      <c r="A6" s="18" t="s">
        <v>87</v>
      </c>
      <c r="B6" s="62">
        <f>121972/4</f>
        <v>30493</v>
      </c>
      <c r="C6" s="62">
        <v>0</v>
      </c>
      <c r="D6" s="62"/>
      <c r="E6" s="62">
        <f>121972/2</f>
        <v>60986</v>
      </c>
      <c r="F6" s="62">
        <v>0</v>
      </c>
      <c r="G6" s="18"/>
      <c r="H6" s="62">
        <f>E6/4</f>
        <v>15246.5</v>
      </c>
      <c r="I6" s="62">
        <v>0</v>
      </c>
      <c r="J6" s="62">
        <f>H6+E6+B6</f>
        <v>106725.5</v>
      </c>
      <c r="K6" s="62">
        <f>I6+F6+C6</f>
        <v>0</v>
      </c>
    </row>
    <row r="7" spans="1:11" ht="12.75">
      <c r="A7" s="18" t="s">
        <v>102</v>
      </c>
      <c r="B7" s="62">
        <v>0</v>
      </c>
      <c r="C7" s="62">
        <f>243.94*55</f>
        <v>13416.7</v>
      </c>
      <c r="D7" s="62"/>
      <c r="E7" s="62">
        <v>0</v>
      </c>
      <c r="F7" s="62">
        <f>(121972/500)*240</f>
        <v>58546.56</v>
      </c>
      <c r="G7" s="18"/>
      <c r="H7" s="62">
        <v>0</v>
      </c>
      <c r="I7" s="62">
        <f>(35*5)*243.94</f>
        <v>42689.5</v>
      </c>
      <c r="J7" s="62">
        <f aca="true" t="shared" si="0" ref="J7:J38">H7+E7+B7</f>
        <v>0</v>
      </c>
      <c r="K7" s="62">
        <f aca="true" t="shared" si="1" ref="K7:K38">I7+F7+C7</f>
        <v>114652.76</v>
      </c>
    </row>
    <row r="8" spans="1:11" ht="12.75">
      <c r="A8" s="18" t="s">
        <v>83</v>
      </c>
      <c r="B8" s="62">
        <v>28391</v>
      </c>
      <c r="C8" s="62">
        <v>0</v>
      </c>
      <c r="D8" s="62"/>
      <c r="E8" s="62">
        <v>51757</v>
      </c>
      <c r="F8" s="62">
        <v>0</v>
      </c>
      <c r="G8" s="18"/>
      <c r="H8" s="62">
        <f>E8/4</f>
        <v>12939.25</v>
      </c>
      <c r="I8" s="62">
        <v>0</v>
      </c>
      <c r="J8" s="62">
        <f t="shared" si="0"/>
        <v>93087.25</v>
      </c>
      <c r="K8" s="62">
        <f t="shared" si="1"/>
        <v>0</v>
      </c>
    </row>
    <row r="9" spans="1:11" ht="12.75">
      <c r="A9" s="18" t="s">
        <v>91</v>
      </c>
      <c r="B9" s="62">
        <v>0</v>
      </c>
      <c r="C9" s="62">
        <f>24.5268*(18*5)</f>
        <v>2207.4120000000003</v>
      </c>
      <c r="D9" s="62"/>
      <c r="E9" s="62">
        <v>0</v>
      </c>
      <c r="F9" s="62">
        <f>C9*2</f>
        <v>4414.8240000000005</v>
      </c>
      <c r="G9" s="18"/>
      <c r="H9" s="62">
        <v>0</v>
      </c>
      <c r="I9" s="62">
        <f>24.5268*(26*5)</f>
        <v>3188.4840000000004</v>
      </c>
      <c r="J9" s="62">
        <f t="shared" si="0"/>
        <v>0</v>
      </c>
      <c r="K9" s="62">
        <f t="shared" si="1"/>
        <v>9810.720000000001</v>
      </c>
    </row>
    <row r="10" spans="1:11" ht="12.75">
      <c r="A10" s="18" t="s">
        <v>100</v>
      </c>
      <c r="B10" s="62">
        <v>0</v>
      </c>
      <c r="C10" s="62">
        <f>11*691.97</f>
        <v>7611.67</v>
      </c>
      <c r="D10" s="62"/>
      <c r="E10" s="62">
        <v>0</v>
      </c>
      <c r="F10" s="62">
        <f>25603+8996</f>
        <v>34599</v>
      </c>
      <c r="G10" s="18"/>
      <c r="H10" s="62">
        <v>0</v>
      </c>
      <c r="I10" s="62">
        <f>35*691.97</f>
        <v>24218.95</v>
      </c>
      <c r="J10" s="62">
        <f t="shared" si="0"/>
        <v>0</v>
      </c>
      <c r="K10" s="62">
        <f t="shared" si="1"/>
        <v>66429.62</v>
      </c>
    </row>
    <row r="11" spans="1:11" ht="12.75">
      <c r="A11" s="18" t="s">
        <v>84</v>
      </c>
      <c r="B11" s="62">
        <v>36330</v>
      </c>
      <c r="C11" s="62">
        <v>0</v>
      </c>
      <c r="D11" s="62"/>
      <c r="E11" s="62">
        <v>72067</v>
      </c>
      <c r="F11" s="62">
        <v>0</v>
      </c>
      <c r="G11" s="18"/>
      <c r="H11" s="62">
        <f>E11/3</f>
        <v>24022.333333333332</v>
      </c>
      <c r="I11" s="62">
        <v>0</v>
      </c>
      <c r="J11" s="62">
        <f t="shared" si="0"/>
        <v>132419.3333333333</v>
      </c>
      <c r="K11" s="62">
        <f t="shared" si="1"/>
        <v>0</v>
      </c>
    </row>
    <row r="12" spans="1:11" ht="12.75">
      <c r="A12" s="18" t="s">
        <v>92</v>
      </c>
      <c r="B12" s="62">
        <v>0</v>
      </c>
      <c r="C12" s="62">
        <f>11*1000</f>
        <v>11000</v>
      </c>
      <c r="D12" s="62"/>
      <c r="E12" s="62">
        <v>0</v>
      </c>
      <c r="F12" s="62">
        <f>240*200</f>
        <v>48000</v>
      </c>
      <c r="G12" s="18"/>
      <c r="H12" s="62">
        <v>0</v>
      </c>
      <c r="I12" s="62">
        <f>35*1000</f>
        <v>35000</v>
      </c>
      <c r="J12" s="62">
        <f t="shared" si="0"/>
        <v>0</v>
      </c>
      <c r="K12" s="62">
        <f t="shared" si="1"/>
        <v>94000</v>
      </c>
    </row>
    <row r="13" spans="1:11" ht="12.75">
      <c r="A13" s="18" t="s">
        <v>86</v>
      </c>
      <c r="B13" s="18">
        <v>0</v>
      </c>
      <c r="C13" s="62">
        <v>30945</v>
      </c>
      <c r="D13" s="62"/>
      <c r="E13" s="62">
        <v>0</v>
      </c>
      <c r="F13" s="62">
        <v>53912</v>
      </c>
      <c r="G13" s="18"/>
      <c r="H13" s="62">
        <v>0</v>
      </c>
      <c r="I13" s="62">
        <f>F13/4</f>
        <v>13478</v>
      </c>
      <c r="J13" s="62">
        <f t="shared" si="0"/>
        <v>0</v>
      </c>
      <c r="K13" s="62">
        <f t="shared" si="1"/>
        <v>98335</v>
      </c>
    </row>
    <row r="14" spans="1:11" ht="12.75">
      <c r="A14" s="18" t="s">
        <v>115</v>
      </c>
      <c r="B14" s="18">
        <v>0</v>
      </c>
      <c r="C14" s="62">
        <f>44382-5</f>
        <v>44377</v>
      </c>
      <c r="D14" s="62"/>
      <c r="E14" s="62">
        <v>0</v>
      </c>
      <c r="F14" s="62">
        <f>76867-5000</f>
        <v>71867</v>
      </c>
      <c r="G14" s="18"/>
      <c r="H14" s="62">
        <v>0</v>
      </c>
      <c r="I14" s="62">
        <v>19217</v>
      </c>
      <c r="J14" s="62">
        <f t="shared" si="0"/>
        <v>0</v>
      </c>
      <c r="K14" s="62">
        <f t="shared" si="1"/>
        <v>135461</v>
      </c>
    </row>
    <row r="15" spans="1:11" ht="12.75">
      <c r="A15" s="18" t="s">
        <v>88</v>
      </c>
      <c r="B15" s="62">
        <v>16584</v>
      </c>
      <c r="C15" s="62">
        <v>0</v>
      </c>
      <c r="D15" s="62"/>
      <c r="E15" s="62">
        <f>16584*102%</f>
        <v>16915.68</v>
      </c>
      <c r="F15" s="62">
        <v>0</v>
      </c>
      <c r="G15" s="18"/>
      <c r="H15" s="62">
        <f>E15/4</f>
        <v>4228.92</v>
      </c>
      <c r="I15" s="62">
        <v>0</v>
      </c>
      <c r="J15" s="62">
        <f t="shared" si="0"/>
        <v>37728.6</v>
      </c>
      <c r="K15" s="62">
        <f t="shared" si="1"/>
        <v>0</v>
      </c>
    </row>
    <row r="16" spans="1:11" ht="12.75">
      <c r="A16" s="18" t="s">
        <v>89</v>
      </c>
      <c r="B16" s="62">
        <v>0</v>
      </c>
      <c r="C16" s="62">
        <f>545.9*4</f>
        <v>2183.6</v>
      </c>
      <c r="D16" s="62"/>
      <c r="E16" s="62">
        <v>0</v>
      </c>
      <c r="F16" s="62">
        <f>13*545.9</f>
        <v>7096.7</v>
      </c>
      <c r="G16" s="18"/>
      <c r="H16" s="62">
        <v>0</v>
      </c>
      <c r="I16" s="62">
        <v>0</v>
      </c>
      <c r="J16" s="62">
        <f t="shared" si="0"/>
        <v>0</v>
      </c>
      <c r="K16" s="62">
        <f t="shared" si="1"/>
        <v>9280.3</v>
      </c>
    </row>
    <row r="17" spans="1:11" ht="12.75">
      <c r="A17" s="18" t="s">
        <v>90</v>
      </c>
      <c r="B17" s="62">
        <v>0</v>
      </c>
      <c r="C17" s="62">
        <f>5153.54</f>
        <v>5153.54</v>
      </c>
      <c r="D17" s="62"/>
      <c r="E17" s="62">
        <v>0</v>
      </c>
      <c r="F17" s="62">
        <f>19326-C17</f>
        <v>14172.46</v>
      </c>
      <c r="G17" s="18"/>
      <c r="H17" s="62">
        <v>0</v>
      </c>
      <c r="I17" s="62">
        <v>0</v>
      </c>
      <c r="J17" s="62">
        <f t="shared" si="0"/>
        <v>0</v>
      </c>
      <c r="K17" s="62">
        <f t="shared" si="1"/>
        <v>19326</v>
      </c>
    </row>
    <row r="18" spans="1:11" ht="12.75">
      <c r="A18" s="18"/>
      <c r="B18" s="62"/>
      <c r="C18" s="62"/>
      <c r="D18" s="62"/>
      <c r="E18" s="62"/>
      <c r="F18" s="62"/>
      <c r="G18" s="18"/>
      <c r="H18" s="62"/>
      <c r="I18" s="62"/>
      <c r="J18" s="62">
        <f t="shared" si="0"/>
        <v>0</v>
      </c>
      <c r="K18" s="62">
        <f t="shared" si="1"/>
        <v>0</v>
      </c>
    </row>
    <row r="19" spans="1:11" ht="12.75">
      <c r="A19" s="18" t="s">
        <v>114</v>
      </c>
      <c r="B19" s="62">
        <v>527.3</v>
      </c>
      <c r="C19" s="62">
        <v>25100</v>
      </c>
      <c r="D19" s="62"/>
      <c r="E19" s="62">
        <v>0</v>
      </c>
      <c r="F19" s="62">
        <v>2000</v>
      </c>
      <c r="G19" s="18"/>
      <c r="H19" s="62">
        <v>0</v>
      </c>
      <c r="I19" s="62">
        <v>0</v>
      </c>
      <c r="J19" s="62">
        <f t="shared" si="0"/>
        <v>527.3</v>
      </c>
      <c r="K19" s="62">
        <f t="shared" si="1"/>
        <v>27100</v>
      </c>
    </row>
    <row r="20" spans="1:11" ht="12.75">
      <c r="A20" s="18" t="s">
        <v>93</v>
      </c>
      <c r="B20" s="62">
        <v>0</v>
      </c>
      <c r="C20" s="62">
        <v>0</v>
      </c>
      <c r="D20" s="62"/>
      <c r="E20" s="62">
        <v>0</v>
      </c>
      <c r="F20" s="62">
        <v>93223</v>
      </c>
      <c r="G20" s="18"/>
      <c r="H20" s="62">
        <v>0</v>
      </c>
      <c r="I20" s="62">
        <f>F20/3</f>
        <v>31074.333333333332</v>
      </c>
      <c r="J20" s="62">
        <f t="shared" si="0"/>
        <v>0</v>
      </c>
      <c r="K20" s="62">
        <f t="shared" si="1"/>
        <v>124297.33333333333</v>
      </c>
    </row>
    <row r="21" spans="1:11" ht="12.75" customHeight="1">
      <c r="A21" s="18" t="s">
        <v>116</v>
      </c>
      <c r="B21" s="62"/>
      <c r="C21" s="62"/>
      <c r="D21" s="62"/>
      <c r="E21" s="62"/>
      <c r="F21" s="62"/>
      <c r="G21" s="18"/>
      <c r="H21" s="62"/>
      <c r="I21" s="62">
        <v>73600</v>
      </c>
      <c r="J21" s="62">
        <f t="shared" si="0"/>
        <v>0</v>
      </c>
      <c r="K21" s="62">
        <f t="shared" si="1"/>
        <v>73600</v>
      </c>
    </row>
    <row r="22" spans="1:11" ht="12.75">
      <c r="A22" s="18" t="s">
        <v>97</v>
      </c>
      <c r="B22" s="62">
        <v>0</v>
      </c>
      <c r="C22" s="62">
        <v>540</v>
      </c>
      <c r="D22" s="62"/>
      <c r="E22" s="62">
        <v>0</v>
      </c>
      <c r="F22" s="62">
        <v>480</v>
      </c>
      <c r="G22" s="18"/>
      <c r="H22" s="62">
        <v>0</v>
      </c>
      <c r="I22" s="62">
        <f>40*6</f>
        <v>240</v>
      </c>
      <c r="J22" s="62">
        <f t="shared" si="0"/>
        <v>0</v>
      </c>
      <c r="K22" s="62">
        <f t="shared" si="1"/>
        <v>1260</v>
      </c>
    </row>
    <row r="23" spans="1:12" ht="12.75">
      <c r="A23" s="18"/>
      <c r="B23" s="62"/>
      <c r="C23" s="62"/>
      <c r="D23" s="62"/>
      <c r="E23" s="62"/>
      <c r="F23" s="62"/>
      <c r="G23" s="18"/>
      <c r="H23" s="62"/>
      <c r="I23" s="62"/>
      <c r="J23" s="62">
        <f t="shared" si="0"/>
        <v>0</v>
      </c>
      <c r="K23" s="62">
        <f t="shared" si="1"/>
        <v>0</v>
      </c>
      <c r="L23" s="70"/>
    </row>
    <row r="24" spans="1:11" ht="12.75">
      <c r="A24" s="18" t="s">
        <v>112</v>
      </c>
      <c r="B24" s="62">
        <v>725.8</v>
      </c>
      <c r="C24" s="62">
        <v>0</v>
      </c>
      <c r="D24" s="62"/>
      <c r="E24" s="62">
        <v>0</v>
      </c>
      <c r="F24" s="62">
        <v>0</v>
      </c>
      <c r="G24" s="18"/>
      <c r="H24" s="62">
        <v>0</v>
      </c>
      <c r="I24" s="62">
        <v>0</v>
      </c>
      <c r="J24" s="62">
        <f t="shared" si="0"/>
        <v>725.8</v>
      </c>
      <c r="K24" s="62">
        <f t="shared" si="1"/>
        <v>0</v>
      </c>
    </row>
    <row r="25" spans="1:11" ht="12.75">
      <c r="A25" s="18" t="s">
        <v>94</v>
      </c>
      <c r="B25" s="62">
        <v>756.16</v>
      </c>
      <c r="C25" s="62">
        <v>10000</v>
      </c>
      <c r="D25" s="62"/>
      <c r="E25" s="62">
        <v>0</v>
      </c>
      <c r="F25" s="62">
        <v>0</v>
      </c>
      <c r="G25" s="18"/>
      <c r="H25" s="62">
        <v>0</v>
      </c>
      <c r="I25" s="62">
        <v>0</v>
      </c>
      <c r="J25" s="62">
        <f t="shared" si="0"/>
        <v>756.16</v>
      </c>
      <c r="K25" s="62">
        <f t="shared" si="1"/>
        <v>10000</v>
      </c>
    </row>
    <row r="26" spans="1:11" ht="12.75">
      <c r="A26" s="18" t="s">
        <v>95</v>
      </c>
      <c r="B26" s="62">
        <v>0</v>
      </c>
      <c r="C26" s="62">
        <f>8918.41+2000</f>
        <v>10918.41</v>
      </c>
      <c r="D26" s="62"/>
      <c r="E26" s="62">
        <v>0</v>
      </c>
      <c r="F26" s="62">
        <v>7980</v>
      </c>
      <c r="G26" s="18"/>
      <c r="H26" s="62">
        <v>0</v>
      </c>
      <c r="I26" s="62">
        <f>(8720/12)*3</f>
        <v>2180</v>
      </c>
      <c r="J26" s="62">
        <f t="shared" si="0"/>
        <v>0</v>
      </c>
      <c r="K26" s="62">
        <f t="shared" si="1"/>
        <v>21078.41</v>
      </c>
    </row>
    <row r="27" spans="1:11" ht="12.75">
      <c r="A27" s="18"/>
      <c r="B27" s="62"/>
      <c r="C27" s="62"/>
      <c r="D27" s="62"/>
      <c r="E27" s="62"/>
      <c r="F27" s="62"/>
      <c r="G27" s="18"/>
      <c r="H27" s="62"/>
      <c r="I27" s="62"/>
      <c r="J27" s="62">
        <f t="shared" si="0"/>
        <v>0</v>
      </c>
      <c r="K27" s="62">
        <f t="shared" si="1"/>
        <v>0</v>
      </c>
    </row>
    <row r="28" spans="1:11" ht="12.75">
      <c r="A28" s="18" t="s">
        <v>96</v>
      </c>
      <c r="B28" s="62">
        <v>0</v>
      </c>
      <c r="C28" s="62">
        <v>4000</v>
      </c>
      <c r="D28" s="62"/>
      <c r="E28" s="62">
        <v>0</v>
      </c>
      <c r="F28" s="62">
        <v>4500</v>
      </c>
      <c r="G28" s="18"/>
      <c r="H28" s="62">
        <v>0</v>
      </c>
      <c r="I28" s="62">
        <v>0</v>
      </c>
      <c r="J28" s="62">
        <f t="shared" si="0"/>
        <v>0</v>
      </c>
      <c r="K28" s="62">
        <f t="shared" si="1"/>
        <v>8500</v>
      </c>
    </row>
    <row r="29" spans="1:11" ht="12.75">
      <c r="A29" s="18" t="s">
        <v>118</v>
      </c>
      <c r="B29" s="62">
        <v>0</v>
      </c>
      <c r="C29" s="62">
        <v>3000</v>
      </c>
      <c r="D29" s="62"/>
      <c r="E29" s="62">
        <v>0</v>
      </c>
      <c r="F29" s="62">
        <v>0</v>
      </c>
      <c r="G29" s="18"/>
      <c r="H29" s="62">
        <v>0</v>
      </c>
      <c r="I29" s="62">
        <v>0</v>
      </c>
      <c r="J29" s="62">
        <v>0</v>
      </c>
      <c r="K29" s="62">
        <f>C29</f>
        <v>3000</v>
      </c>
    </row>
    <row r="30" spans="1:11" ht="12.75">
      <c r="A30" s="18" t="s">
        <v>28</v>
      </c>
      <c r="B30" s="62">
        <v>0</v>
      </c>
      <c r="C30" s="62">
        <v>5000</v>
      </c>
      <c r="D30" s="62"/>
      <c r="E30" s="62">
        <v>0</v>
      </c>
      <c r="F30" s="62">
        <v>5000</v>
      </c>
      <c r="G30" s="18"/>
      <c r="H30" s="62">
        <v>0</v>
      </c>
      <c r="I30" s="62">
        <v>0</v>
      </c>
      <c r="J30" s="62">
        <f t="shared" si="0"/>
        <v>0</v>
      </c>
      <c r="K30" s="62">
        <f t="shared" si="1"/>
        <v>10000</v>
      </c>
    </row>
    <row r="31" spans="1:11" ht="12.75">
      <c r="A31" s="18"/>
      <c r="B31" s="62"/>
      <c r="C31" s="62"/>
      <c r="D31" s="62"/>
      <c r="E31" s="62"/>
      <c r="F31" s="62"/>
      <c r="G31" s="18"/>
      <c r="H31" s="62"/>
      <c r="I31" s="62"/>
      <c r="J31" s="62">
        <f t="shared" si="0"/>
        <v>0</v>
      </c>
      <c r="K31" s="62">
        <f t="shared" si="1"/>
        <v>0</v>
      </c>
    </row>
    <row r="32" spans="1:11" ht="12.75">
      <c r="A32" s="18" t="s">
        <v>98</v>
      </c>
      <c r="B32" s="62">
        <v>0</v>
      </c>
      <c r="C32" s="62">
        <v>5500</v>
      </c>
      <c r="D32" s="62"/>
      <c r="E32" s="62">
        <v>0</v>
      </c>
      <c r="F32" s="62">
        <v>0</v>
      </c>
      <c r="G32" s="18"/>
      <c r="H32" s="62">
        <v>0</v>
      </c>
      <c r="I32" s="62">
        <v>0</v>
      </c>
      <c r="J32" s="62">
        <f t="shared" si="0"/>
        <v>0</v>
      </c>
      <c r="K32" s="62">
        <f t="shared" si="1"/>
        <v>5500</v>
      </c>
    </row>
    <row r="33" spans="1:11" ht="12.75">
      <c r="A33" s="18" t="s">
        <v>99</v>
      </c>
      <c r="B33" s="62">
        <v>0</v>
      </c>
      <c r="C33" s="62">
        <v>7500</v>
      </c>
      <c r="D33" s="62"/>
      <c r="E33" s="62">
        <v>0</v>
      </c>
      <c r="F33" s="62">
        <v>0</v>
      </c>
      <c r="G33" s="18"/>
      <c r="H33" s="62">
        <v>0</v>
      </c>
      <c r="I33" s="62">
        <v>0</v>
      </c>
      <c r="J33" s="62">
        <f t="shared" si="0"/>
        <v>0</v>
      </c>
      <c r="K33" s="62">
        <f t="shared" si="1"/>
        <v>7500</v>
      </c>
    </row>
    <row r="34" spans="1:11" ht="12.75">
      <c r="A34" s="18" t="s">
        <v>106</v>
      </c>
      <c r="B34" s="62"/>
      <c r="C34" s="62">
        <v>2500</v>
      </c>
      <c r="D34" s="62"/>
      <c r="E34" s="62"/>
      <c r="F34" s="62"/>
      <c r="G34" s="18"/>
      <c r="H34" s="62"/>
      <c r="I34" s="62"/>
      <c r="J34" s="62">
        <f t="shared" si="0"/>
        <v>0</v>
      </c>
      <c r="K34" s="62">
        <f t="shared" si="1"/>
        <v>2500</v>
      </c>
    </row>
    <row r="35" spans="1:11" ht="12.75">
      <c r="A35" s="18"/>
      <c r="B35" s="62"/>
      <c r="C35" s="62"/>
      <c r="D35" s="62"/>
      <c r="E35" s="62"/>
      <c r="F35" s="62"/>
      <c r="G35" s="18"/>
      <c r="H35" s="62"/>
      <c r="I35" s="62"/>
      <c r="J35" s="62">
        <f t="shared" si="0"/>
        <v>0</v>
      </c>
      <c r="K35" s="62">
        <f t="shared" si="1"/>
        <v>0</v>
      </c>
    </row>
    <row r="36" spans="1:11" ht="12.75">
      <c r="A36" s="18" t="s">
        <v>101</v>
      </c>
      <c r="B36" s="62">
        <v>0</v>
      </c>
      <c r="C36" s="62">
        <f>757+2300</f>
        <v>3057</v>
      </c>
      <c r="D36" s="62"/>
      <c r="E36" s="62">
        <v>0</v>
      </c>
      <c r="F36" s="62">
        <f>2700+800</f>
        <v>3500</v>
      </c>
      <c r="G36" s="18"/>
      <c r="H36" s="62">
        <v>0</v>
      </c>
      <c r="I36" s="62">
        <v>1500</v>
      </c>
      <c r="J36" s="62">
        <f t="shared" si="0"/>
        <v>0</v>
      </c>
      <c r="K36" s="62">
        <f t="shared" si="1"/>
        <v>8057</v>
      </c>
    </row>
    <row r="37" spans="1:11" ht="12.75">
      <c r="A37" s="18"/>
      <c r="B37" s="62"/>
      <c r="C37" s="62"/>
      <c r="D37" s="62"/>
      <c r="E37" s="62"/>
      <c r="F37" s="62"/>
      <c r="G37" s="18"/>
      <c r="H37" s="62"/>
      <c r="I37" s="62"/>
      <c r="J37" s="62">
        <f t="shared" si="0"/>
        <v>0</v>
      </c>
      <c r="K37" s="62">
        <f t="shared" si="1"/>
        <v>0</v>
      </c>
    </row>
    <row r="38" spans="1:11" s="2" customFormat="1" ht="12.75">
      <c r="A38" s="63" t="s">
        <v>103</v>
      </c>
      <c r="B38" s="64">
        <f>SUM(B6:B37)</f>
        <v>113807.26000000001</v>
      </c>
      <c r="C38" s="64">
        <f>SUM(C6:C37)</f>
        <v>194010.33200000002</v>
      </c>
      <c r="D38" s="64"/>
      <c r="E38" s="64">
        <f>SUM(E6:E37)</f>
        <v>201725.68</v>
      </c>
      <c r="F38" s="64">
        <f>SUM(F6:F37)</f>
        <v>409291.544</v>
      </c>
      <c r="G38" s="65"/>
      <c r="H38" s="64">
        <f>SUM(H6:H37)</f>
        <v>56437.00333333333</v>
      </c>
      <c r="I38" s="64">
        <f>SUM(I6:I37)</f>
        <v>246386.26733333335</v>
      </c>
      <c r="J38" s="64">
        <f t="shared" si="0"/>
        <v>371969.94333333336</v>
      </c>
      <c r="K38" s="64">
        <f t="shared" si="1"/>
        <v>849688.1433333334</v>
      </c>
    </row>
    <row r="39" spans="1:9" ht="12.75">
      <c r="A39" s="75"/>
      <c r="B39" s="76"/>
      <c r="C39" s="76"/>
      <c r="D39" s="50"/>
      <c r="E39" s="50"/>
      <c r="F39" s="50"/>
      <c r="H39" s="50"/>
      <c r="I39" s="50"/>
    </row>
    <row r="40" spans="1:9" ht="12.75">
      <c r="A40" s="77"/>
      <c r="B40" s="77"/>
      <c r="C40" s="77"/>
      <c r="D40" s="50"/>
      <c r="E40" s="50"/>
      <c r="F40" s="50"/>
      <c r="H40" s="50"/>
      <c r="I40" s="50"/>
    </row>
    <row r="41" spans="2:9" ht="12.75">
      <c r="B41" s="50"/>
      <c r="C41" s="50"/>
      <c r="D41" s="50"/>
      <c r="E41" s="50"/>
      <c r="F41" s="50"/>
      <c r="H41" s="50"/>
      <c r="I41" s="50"/>
    </row>
    <row r="42" spans="1:11" ht="12.75">
      <c r="A42" s="66" t="s">
        <v>104</v>
      </c>
      <c r="B42" s="62"/>
      <c r="C42" s="62"/>
      <c r="D42" s="62"/>
      <c r="E42" s="62"/>
      <c r="F42" s="62"/>
      <c r="G42" s="18"/>
      <c r="H42" s="18"/>
      <c r="I42" s="18"/>
      <c r="J42" s="18"/>
      <c r="K42" s="18"/>
    </row>
    <row r="43" spans="1:11" ht="12.75">
      <c r="A43" s="18" t="s">
        <v>107</v>
      </c>
      <c r="B43" s="62">
        <v>22682.5</v>
      </c>
      <c r="C43" s="62"/>
      <c r="D43" s="62"/>
      <c r="E43" s="62">
        <v>45365</v>
      </c>
      <c r="F43" s="62"/>
      <c r="G43" s="18"/>
      <c r="H43" s="62">
        <v>45365</v>
      </c>
      <c r="I43" s="62"/>
      <c r="J43" s="62">
        <f aca="true" t="shared" si="2" ref="J43:J52">H43+E43+B43</f>
        <v>113412.5</v>
      </c>
      <c r="K43" s="62">
        <f aca="true" t="shared" si="3" ref="K43:K52">I43+F43+C43</f>
        <v>0</v>
      </c>
    </row>
    <row r="44" spans="1:11" ht="12.75">
      <c r="A44" s="18" t="s">
        <v>119</v>
      </c>
      <c r="B44" s="62"/>
      <c r="C44" s="62">
        <f>20855/2</f>
        <v>10427.5</v>
      </c>
      <c r="D44" s="62"/>
      <c r="E44" s="62"/>
      <c r="F44" s="62">
        <f>34758+3475</f>
        <v>38233</v>
      </c>
      <c r="G44" s="18"/>
      <c r="H44" s="62"/>
      <c r="I44" s="62">
        <v>20855</v>
      </c>
      <c r="J44" s="62">
        <f t="shared" si="2"/>
        <v>0</v>
      </c>
      <c r="K44" s="62">
        <f t="shared" si="3"/>
        <v>69515.5</v>
      </c>
    </row>
    <row r="45" spans="1:11" ht="12.75">
      <c r="A45" s="18" t="s">
        <v>120</v>
      </c>
      <c r="B45" s="62"/>
      <c r="C45" s="62">
        <f>12838/2</f>
        <v>6419</v>
      </c>
      <c r="D45" s="62"/>
      <c r="E45" s="62"/>
      <c r="F45" s="62">
        <f>21398+2140</f>
        <v>23538</v>
      </c>
      <c r="G45" s="18"/>
      <c r="H45" s="62"/>
      <c r="I45" s="62">
        <v>12838</v>
      </c>
      <c r="J45" s="62">
        <f t="shared" si="2"/>
        <v>0</v>
      </c>
      <c r="K45" s="62">
        <f t="shared" si="3"/>
        <v>42795</v>
      </c>
    </row>
    <row r="46" spans="1:11" ht="12.75">
      <c r="A46" s="18" t="s">
        <v>108</v>
      </c>
      <c r="B46" s="62"/>
      <c r="C46" s="62">
        <v>13672</v>
      </c>
      <c r="D46" s="62"/>
      <c r="E46" s="62"/>
      <c r="F46" s="62">
        <v>27343</v>
      </c>
      <c r="G46" s="18"/>
      <c r="H46" s="62"/>
      <c r="I46" s="62">
        <v>13672</v>
      </c>
      <c r="J46" s="62">
        <f t="shared" si="2"/>
        <v>0</v>
      </c>
      <c r="K46" s="62">
        <f t="shared" si="3"/>
        <v>54687</v>
      </c>
    </row>
    <row r="47" spans="1:11" ht="12.75">
      <c r="A47" s="18" t="s">
        <v>109</v>
      </c>
      <c r="B47" s="62">
        <v>3000</v>
      </c>
      <c r="C47" s="62">
        <f>SUM(C42)</f>
        <v>0</v>
      </c>
      <c r="D47" s="62"/>
      <c r="E47" s="62">
        <v>4000</v>
      </c>
      <c r="F47" s="62"/>
      <c r="G47" s="18"/>
      <c r="H47" s="62">
        <v>3000</v>
      </c>
      <c r="I47" s="62"/>
      <c r="J47" s="62">
        <f t="shared" si="2"/>
        <v>10000</v>
      </c>
      <c r="K47" s="62">
        <f t="shared" si="3"/>
        <v>0</v>
      </c>
    </row>
    <row r="48" spans="1:11" ht="12.75">
      <c r="A48" s="18" t="s">
        <v>43</v>
      </c>
      <c r="B48" s="62">
        <v>2800</v>
      </c>
      <c r="C48" s="62">
        <f>SUM(C43)</f>
        <v>0</v>
      </c>
      <c r="D48" s="62"/>
      <c r="E48" s="62">
        <v>5600</v>
      </c>
      <c r="F48" s="62"/>
      <c r="G48" s="18"/>
      <c r="H48" s="62"/>
      <c r="I48" s="62">
        <v>2800</v>
      </c>
      <c r="J48" s="62">
        <f t="shared" si="2"/>
        <v>8400</v>
      </c>
      <c r="K48" s="62">
        <f t="shared" si="3"/>
        <v>2800</v>
      </c>
    </row>
    <row r="49" spans="1:11" ht="12.75">
      <c r="A49" s="18" t="s">
        <v>110</v>
      </c>
      <c r="B49" s="62"/>
      <c r="C49" s="62"/>
      <c r="D49" s="62"/>
      <c r="E49" s="62"/>
      <c r="F49" s="62"/>
      <c r="G49" s="18"/>
      <c r="H49" s="62"/>
      <c r="I49" s="62">
        <v>5400</v>
      </c>
      <c r="J49" s="62">
        <f t="shared" si="2"/>
        <v>0</v>
      </c>
      <c r="K49" s="62">
        <f t="shared" si="3"/>
        <v>5400</v>
      </c>
    </row>
    <row r="50" spans="1:11" ht="12.75">
      <c r="A50" s="18" t="s">
        <v>117</v>
      </c>
      <c r="B50" s="62"/>
      <c r="C50" s="62"/>
      <c r="D50" s="62"/>
      <c r="E50" s="62"/>
      <c r="F50" s="62">
        <v>3000</v>
      </c>
      <c r="G50" s="18"/>
      <c r="H50" s="62"/>
      <c r="I50" s="62">
        <v>5000</v>
      </c>
      <c r="J50" s="62">
        <f t="shared" si="2"/>
        <v>0</v>
      </c>
      <c r="K50" s="62">
        <f t="shared" si="3"/>
        <v>8000</v>
      </c>
    </row>
    <row r="51" spans="1:11" ht="12.75">
      <c r="A51" s="18"/>
      <c r="B51" s="62"/>
      <c r="C51" s="62"/>
      <c r="D51" s="62"/>
      <c r="E51" s="62"/>
      <c r="F51" s="62"/>
      <c r="G51" s="18"/>
      <c r="H51" s="18"/>
      <c r="I51" s="18"/>
      <c r="J51" s="62">
        <f t="shared" si="2"/>
        <v>0</v>
      </c>
      <c r="K51" s="62">
        <f t="shared" si="3"/>
        <v>0</v>
      </c>
    </row>
    <row r="52" spans="1:11" s="2" customFormat="1" ht="12.75">
      <c r="A52" s="63" t="s">
        <v>111</v>
      </c>
      <c r="B52" s="64">
        <f>SUM(B43:B51)</f>
        <v>28482.5</v>
      </c>
      <c r="C52" s="64">
        <f>C44+C45+C46+C47+C48</f>
        <v>30518.5</v>
      </c>
      <c r="D52" s="65"/>
      <c r="E52" s="64">
        <f>SUM(E43:E51)</f>
        <v>54965</v>
      </c>
      <c r="F52" s="64">
        <f>SUM(F43:F51)</f>
        <v>92114</v>
      </c>
      <c r="G52" s="65"/>
      <c r="H52" s="69">
        <f>SUM(H43:H51)</f>
        <v>48365</v>
      </c>
      <c r="I52" s="69">
        <f>SUM(I43:I51)</f>
        <v>60565</v>
      </c>
      <c r="J52" s="64">
        <f t="shared" si="2"/>
        <v>131812.5</v>
      </c>
      <c r="K52" s="64">
        <f t="shared" si="3"/>
        <v>183197.5</v>
      </c>
    </row>
    <row r="53" spans="1:9" ht="12.75">
      <c r="A53" s="71"/>
      <c r="B53" s="71"/>
      <c r="C53" s="71"/>
      <c r="D53" s="71"/>
      <c r="E53" s="71"/>
      <c r="F53" s="71"/>
      <c r="G53" s="71"/>
      <c r="H53" s="72"/>
      <c r="I53" s="72"/>
    </row>
    <row r="54" spans="1:9" ht="12.75">
      <c r="A54" s="73"/>
      <c r="B54" s="73"/>
      <c r="C54" s="73"/>
      <c r="D54" s="73"/>
      <c r="E54" s="73"/>
      <c r="F54" s="73"/>
      <c r="G54" s="73"/>
      <c r="H54" s="74"/>
      <c r="I54" s="74"/>
    </row>
    <row r="55" spans="1:9" ht="12.75">
      <c r="A55" s="73"/>
      <c r="B55" s="73"/>
      <c r="C55" s="73"/>
      <c r="D55" s="73"/>
      <c r="E55" s="73"/>
      <c r="F55" s="73"/>
      <c r="G55" s="73"/>
      <c r="H55" s="74"/>
      <c r="I55" s="74"/>
    </row>
    <row r="56" spans="1:9" ht="12.75">
      <c r="A56" s="73"/>
      <c r="B56" s="73"/>
      <c r="C56" s="73"/>
      <c r="D56" s="73"/>
      <c r="E56" s="73"/>
      <c r="F56" s="73"/>
      <c r="G56" s="73"/>
      <c r="H56" s="74"/>
      <c r="I56" s="74"/>
    </row>
    <row r="57" spans="1:9" ht="12.75">
      <c r="A57" s="73"/>
      <c r="B57" s="73"/>
      <c r="C57" s="73"/>
      <c r="D57" s="73"/>
      <c r="E57" s="73"/>
      <c r="F57" s="73"/>
      <c r="G57" s="73"/>
      <c r="H57" s="74"/>
      <c r="I57" s="74"/>
    </row>
    <row r="58" spans="1:9" ht="12.75">
      <c r="A58" s="73"/>
      <c r="B58" s="73"/>
      <c r="C58" s="73"/>
      <c r="D58" s="73"/>
      <c r="E58" s="73"/>
      <c r="F58" s="73"/>
      <c r="G58" s="73"/>
      <c r="H58" s="74"/>
      <c r="I58" s="74"/>
    </row>
    <row r="59" spans="1:9" ht="12.75">
      <c r="A59" s="73"/>
      <c r="B59" s="73"/>
      <c r="C59" s="73"/>
      <c r="D59" s="73"/>
      <c r="E59" s="73"/>
      <c r="F59" s="73"/>
      <c r="G59" s="73"/>
      <c r="H59" s="74"/>
      <c r="I59" s="74"/>
    </row>
    <row r="60" spans="1:9" ht="12.75">
      <c r="A60" s="73"/>
      <c r="B60" s="73"/>
      <c r="C60" s="73"/>
      <c r="D60" s="73"/>
      <c r="E60" s="73"/>
      <c r="F60" s="73"/>
      <c r="G60" s="73"/>
      <c r="H60" s="74"/>
      <c r="I60" s="74"/>
    </row>
    <row r="61" spans="1:9" ht="12.75">
      <c r="A61" s="73"/>
      <c r="B61" s="73"/>
      <c r="C61" s="73"/>
      <c r="D61" s="73"/>
      <c r="E61" s="73"/>
      <c r="F61" s="73"/>
      <c r="G61" s="73"/>
      <c r="H61" s="74"/>
      <c r="I61" s="74"/>
    </row>
    <row r="62" spans="1:9" ht="12.75">
      <c r="A62" s="73"/>
      <c r="B62" s="73"/>
      <c r="C62" s="73"/>
      <c r="D62" s="73"/>
      <c r="E62" s="73"/>
      <c r="F62" s="73"/>
      <c r="G62" s="73"/>
      <c r="H62" s="74"/>
      <c r="I62" s="74"/>
    </row>
    <row r="63" spans="1:9" ht="12.75">
      <c r="A63" s="73"/>
      <c r="B63" s="73"/>
      <c r="C63" s="73"/>
      <c r="D63" s="73"/>
      <c r="E63" s="73"/>
      <c r="F63" s="73"/>
      <c r="G63" s="73"/>
      <c r="H63" s="74"/>
      <c r="I63" s="74"/>
    </row>
    <row r="64" spans="1:9" ht="12.75">
      <c r="A64" s="73"/>
      <c r="B64" s="73"/>
      <c r="C64" s="73"/>
      <c r="D64" s="73"/>
      <c r="E64" s="73"/>
      <c r="F64" s="73"/>
      <c r="G64" s="73"/>
      <c r="H64" s="74"/>
      <c r="I64" s="74"/>
    </row>
    <row r="65" spans="1:9" ht="12.75">
      <c r="A65" s="73"/>
      <c r="B65" s="73"/>
      <c r="C65" s="73"/>
      <c r="D65" s="73"/>
      <c r="E65" s="73"/>
      <c r="F65" s="73"/>
      <c r="G65" s="73"/>
      <c r="H65" s="74"/>
      <c r="I65" s="74"/>
    </row>
    <row r="66" spans="1:9" ht="12.75">
      <c r="A66" s="73"/>
      <c r="B66" s="73"/>
      <c r="C66" s="73"/>
      <c r="D66" s="73"/>
      <c r="E66" s="73"/>
      <c r="F66" s="73"/>
      <c r="G66" s="73"/>
      <c r="H66" s="74"/>
      <c r="I66" s="74"/>
    </row>
    <row r="67" spans="1:9" ht="12.75">
      <c r="A67" s="73"/>
      <c r="B67" s="73"/>
      <c r="C67" s="73"/>
      <c r="D67" s="73"/>
      <c r="E67" s="73"/>
      <c r="F67" s="73"/>
      <c r="G67" s="73"/>
      <c r="H67" s="74"/>
      <c r="I67" s="74"/>
    </row>
    <row r="68" spans="1:9" ht="12.75">
      <c r="A68" s="73"/>
      <c r="B68" s="73"/>
      <c r="C68" s="73"/>
      <c r="D68" s="73"/>
      <c r="E68" s="73"/>
      <c r="F68" s="73"/>
      <c r="G68" s="73"/>
      <c r="H68" s="74"/>
      <c r="I68" s="74"/>
    </row>
    <row r="69" spans="1:9" ht="12.75">
      <c r="A69" s="73"/>
      <c r="B69" s="73"/>
      <c r="C69" s="73"/>
      <c r="D69" s="73"/>
      <c r="E69" s="73"/>
      <c r="F69" s="73"/>
      <c r="G69" s="73"/>
      <c r="H69" s="74"/>
      <c r="I69" s="74"/>
    </row>
    <row r="70" spans="1:9" ht="12.75">
      <c r="A70" s="73"/>
      <c r="B70" s="73"/>
      <c r="C70" s="73"/>
      <c r="D70" s="73"/>
      <c r="E70" s="73"/>
      <c r="F70" s="73"/>
      <c r="G70" s="73"/>
      <c r="H70" s="74"/>
      <c r="I70" s="74"/>
    </row>
    <row r="71" spans="1:9" ht="12.75">
      <c r="A71" s="73"/>
      <c r="B71" s="73"/>
      <c r="C71" s="73"/>
      <c r="D71" s="73"/>
      <c r="E71" s="73"/>
      <c r="F71" s="73"/>
      <c r="G71" s="73"/>
      <c r="H71" s="74"/>
      <c r="I71" s="74"/>
    </row>
    <row r="72" spans="1:9" ht="12.75">
      <c r="A72" s="73"/>
      <c r="B72" s="73"/>
      <c r="C72" s="73"/>
      <c r="D72" s="73"/>
      <c r="E72" s="73"/>
      <c r="F72" s="73"/>
      <c r="G72" s="73"/>
      <c r="H72" s="74"/>
      <c r="I72" s="74"/>
    </row>
    <row r="73" spans="1:9" ht="12.75">
      <c r="A73" s="73"/>
      <c r="B73" s="73"/>
      <c r="C73" s="73"/>
      <c r="D73" s="73"/>
      <c r="E73" s="73"/>
      <c r="F73" s="73"/>
      <c r="G73" s="73"/>
      <c r="H73" s="74"/>
      <c r="I73" s="74"/>
    </row>
    <row r="74" spans="8:9" ht="12.75">
      <c r="H74" s="50"/>
      <c r="I74" s="50"/>
    </row>
    <row r="75" spans="8:9" ht="12.75">
      <c r="H75" s="50"/>
      <c r="I75" s="50"/>
    </row>
    <row r="76" spans="8:9" ht="12.75">
      <c r="H76" s="50"/>
      <c r="I76" s="50"/>
    </row>
    <row r="77" spans="8:9" ht="12.75">
      <c r="H77" s="50"/>
      <c r="I77" s="50"/>
    </row>
    <row r="78" spans="8:9" ht="12.75">
      <c r="H78" s="50"/>
      <c r="I78" s="50"/>
    </row>
    <row r="79" spans="8:9" ht="12.75">
      <c r="H79" s="50"/>
      <c r="I79" s="50"/>
    </row>
    <row r="80" spans="8:9" ht="12.75">
      <c r="H80" s="50"/>
      <c r="I80" s="50"/>
    </row>
    <row r="81" spans="8:9" ht="12.75">
      <c r="H81" s="50"/>
      <c r="I81" s="50"/>
    </row>
    <row r="82" spans="8:9" ht="12.75">
      <c r="H82" s="50"/>
      <c r="I82" s="50"/>
    </row>
    <row r="83" spans="8:9" ht="12.75">
      <c r="H83" s="50"/>
      <c r="I83" s="50"/>
    </row>
    <row r="84" spans="8:9" ht="12.75">
      <c r="H84" s="50"/>
      <c r="I84" s="50"/>
    </row>
    <row r="85" spans="8:9" ht="12.75">
      <c r="H85" s="50"/>
      <c r="I85" s="50"/>
    </row>
    <row r="86" spans="8:9" ht="12.75">
      <c r="H86" s="50"/>
      <c r="I86" s="50"/>
    </row>
    <row r="87" spans="8:9" ht="12.75">
      <c r="H87" s="50"/>
      <c r="I87" s="50"/>
    </row>
    <row r="88" spans="8:9" ht="12.75">
      <c r="H88" s="50"/>
      <c r="I88" s="50"/>
    </row>
    <row r="89" spans="8:9" ht="12.75">
      <c r="H89" s="50"/>
      <c r="I89" s="50"/>
    </row>
    <row r="90" spans="8:9" ht="12.75">
      <c r="H90" s="50"/>
      <c r="I90" s="50"/>
    </row>
    <row r="91" spans="8:9" ht="12.75">
      <c r="H91" s="50"/>
      <c r="I91" s="50"/>
    </row>
    <row r="92" spans="8:9" ht="12.75">
      <c r="H92" s="50"/>
      <c r="I92" s="50"/>
    </row>
    <row r="93" spans="8:9" ht="12.75">
      <c r="H93" s="50"/>
      <c r="I93" s="50"/>
    </row>
    <row r="94" spans="8:9" ht="12.75">
      <c r="H94" s="50"/>
      <c r="I94" s="50"/>
    </row>
    <row r="95" spans="8:9" ht="12.75">
      <c r="H95" s="50"/>
      <c r="I95" s="50"/>
    </row>
    <row r="96" spans="8:9" ht="12.75">
      <c r="H96" s="50"/>
      <c r="I96" s="50"/>
    </row>
    <row r="97" spans="8:9" ht="12.75">
      <c r="H97" s="50"/>
      <c r="I97" s="50"/>
    </row>
    <row r="98" spans="8:9" ht="12.75">
      <c r="H98" s="50"/>
      <c r="I98" s="50"/>
    </row>
    <row r="99" spans="8:9" ht="12.75">
      <c r="H99" s="50"/>
      <c r="I99" s="50"/>
    </row>
    <row r="100" spans="8:9" ht="12.75">
      <c r="H100" s="50"/>
      <c r="I100" s="50"/>
    </row>
    <row r="101" spans="8:9" ht="12.75">
      <c r="H101" s="50"/>
      <c r="I101" s="50"/>
    </row>
    <row r="102" spans="8:9" ht="12.75">
      <c r="H102" s="50"/>
      <c r="I102" s="50"/>
    </row>
    <row r="103" spans="8:9" ht="12.75">
      <c r="H103" s="50"/>
      <c r="I103" s="50"/>
    </row>
    <row r="104" spans="8:9" ht="12.75">
      <c r="H104" s="50"/>
      <c r="I104" s="50"/>
    </row>
    <row r="105" spans="8:9" ht="12.75">
      <c r="H105" s="50"/>
      <c r="I105" s="50"/>
    </row>
    <row r="106" spans="8:9" ht="12.75">
      <c r="H106" s="50"/>
      <c r="I106" s="50"/>
    </row>
    <row r="107" spans="8:9" ht="12.75">
      <c r="H107" s="50"/>
      <c r="I107" s="50"/>
    </row>
    <row r="108" spans="8:9" ht="12.75">
      <c r="H108" s="50"/>
      <c r="I108" s="50"/>
    </row>
    <row r="109" spans="8:9" ht="12.75">
      <c r="H109" s="50"/>
      <c r="I109" s="50"/>
    </row>
    <row r="110" spans="8:9" ht="12.75">
      <c r="H110" s="50"/>
      <c r="I110" s="50"/>
    </row>
    <row r="111" spans="8:9" ht="12.75">
      <c r="H111" s="50"/>
      <c r="I111" s="50"/>
    </row>
    <row r="112" spans="8:9" ht="12.75">
      <c r="H112" s="50"/>
      <c r="I112" s="50"/>
    </row>
    <row r="113" spans="8:9" ht="12.75">
      <c r="H113" s="50"/>
      <c r="I113" s="50"/>
    </row>
    <row r="114" spans="8:9" ht="12.75">
      <c r="H114" s="50"/>
      <c r="I114" s="50"/>
    </row>
    <row r="115" spans="8:9" ht="12.75">
      <c r="H115" s="50"/>
      <c r="I115" s="50"/>
    </row>
    <row r="116" spans="8:9" ht="12.75">
      <c r="H116" s="50"/>
      <c r="I116" s="50"/>
    </row>
    <row r="117" spans="8:9" ht="12.75">
      <c r="H117" s="50"/>
      <c r="I117" s="50"/>
    </row>
    <row r="118" spans="8:9" ht="12.75">
      <c r="H118" s="50"/>
      <c r="I118" s="50"/>
    </row>
    <row r="119" spans="8:9" ht="12.75">
      <c r="H119" s="50"/>
      <c r="I119" s="50"/>
    </row>
    <row r="120" spans="8:9" ht="12.75">
      <c r="H120" s="50"/>
      <c r="I120" s="50"/>
    </row>
    <row r="121" spans="8:9" ht="12.75">
      <c r="H121" s="50"/>
      <c r="I121" s="50"/>
    </row>
    <row r="122" spans="8:9" ht="12.75">
      <c r="H122" s="50"/>
      <c r="I122" s="50"/>
    </row>
    <row r="123" spans="8:9" ht="12.75">
      <c r="H123" s="50"/>
      <c r="I123" s="50"/>
    </row>
    <row r="124" spans="8:9" ht="12.75">
      <c r="H124" s="50"/>
      <c r="I124" s="50"/>
    </row>
    <row r="125" spans="8:9" ht="12.75">
      <c r="H125" s="50"/>
      <c r="I125" s="50"/>
    </row>
    <row r="126" spans="8:9" ht="12.75">
      <c r="H126" s="50"/>
      <c r="I126" s="50"/>
    </row>
    <row r="127" spans="8:9" ht="12.75">
      <c r="H127" s="50"/>
      <c r="I127" s="50"/>
    </row>
    <row r="128" spans="8:9" ht="12.75">
      <c r="H128" s="50"/>
      <c r="I128" s="50"/>
    </row>
    <row r="129" spans="8:9" ht="12.75">
      <c r="H129" s="50"/>
      <c r="I129" s="50"/>
    </row>
    <row r="130" spans="8:9" ht="12.75">
      <c r="H130" s="50"/>
      <c r="I130" s="50"/>
    </row>
    <row r="131" spans="8:9" ht="12.75">
      <c r="H131" s="50"/>
      <c r="I131" s="50"/>
    </row>
    <row r="132" spans="8:9" ht="12.75">
      <c r="H132" s="50"/>
      <c r="I132" s="50"/>
    </row>
    <row r="133" spans="8:9" ht="12.75">
      <c r="H133" s="50"/>
      <c r="I133" s="50"/>
    </row>
    <row r="134" spans="8:9" ht="12.75">
      <c r="H134" s="50"/>
      <c r="I134" s="50"/>
    </row>
    <row r="135" spans="8:9" ht="12.75">
      <c r="H135" s="50"/>
      <c r="I135" s="50"/>
    </row>
    <row r="136" spans="8:9" ht="12.75">
      <c r="H136" s="50"/>
      <c r="I136" s="50"/>
    </row>
    <row r="137" spans="8:9" ht="12.75">
      <c r="H137" s="50"/>
      <c r="I137" s="50"/>
    </row>
  </sheetData>
  <mergeCells count="4">
    <mergeCell ref="J4:K4"/>
    <mergeCell ref="B4:C4"/>
    <mergeCell ref="E4:F4"/>
    <mergeCell ref="H4:I4"/>
  </mergeCells>
  <printOptions/>
  <pageMargins left="0" right="0" top="0.5" bottom="0.5" header="0.5" footer="0.5"/>
  <pageSetup cellComments="atEnd" horizontalDpi="600" verticalDpi="600" orientation="landscape" r:id="rId3"/>
  <headerFooter alignWithMargins="0">
    <oddFooter>&amp;R&amp;D&amp;T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B1" sqref="B1"/>
    </sheetView>
  </sheetViews>
  <sheetFormatPr defaultColWidth="9.140625" defaultRowHeight="12.75"/>
  <cols>
    <col min="1" max="1" width="50.7109375" style="21" customWidth="1"/>
    <col min="2" max="6" width="9.140625" style="21" customWidth="1"/>
  </cols>
  <sheetData>
    <row r="1" ht="12.75">
      <c r="A1" s="53"/>
    </row>
    <row r="3" ht="12.75">
      <c r="A3" s="21" t="s">
        <v>48</v>
      </c>
    </row>
    <row r="4" ht="12.75">
      <c r="A4" s="58">
        <v>37617</v>
      </c>
    </row>
    <row r="6" spans="2:6" ht="12.75">
      <c r="B6" s="49">
        <v>2003</v>
      </c>
      <c r="C6" s="2"/>
      <c r="D6" s="2"/>
      <c r="E6" s="2"/>
      <c r="F6" s="49">
        <v>2004</v>
      </c>
    </row>
    <row r="7" spans="1:9" ht="12.75">
      <c r="A7" s="48" t="s">
        <v>49</v>
      </c>
      <c r="B7" s="54">
        <f>19794+19794+17994</f>
        <v>57582</v>
      </c>
      <c r="C7" s="87"/>
      <c r="D7" s="88"/>
      <c r="E7" s="89"/>
      <c r="F7" s="54">
        <f>40380+40380+36708</f>
        <v>117468</v>
      </c>
      <c r="G7" s="82"/>
      <c r="H7" s="83"/>
      <c r="I7" s="84"/>
    </row>
    <row r="8" spans="1:9" ht="12.75">
      <c r="A8" s="48" t="s">
        <v>50</v>
      </c>
      <c r="B8" s="54">
        <f>'Sup.Ct.'!J8+'Sup.Ct.'!J9+'Sup.Ct.'!J21</f>
        <v>47687</v>
      </c>
      <c r="C8" s="87"/>
      <c r="D8" s="90"/>
      <c r="E8" s="91"/>
      <c r="F8" s="54">
        <f>'Sup.Ct.'!N8+'Sup.Ct.'!N9+'Sup.Ct.'!N21</f>
        <v>102792</v>
      </c>
      <c r="G8" s="82"/>
      <c r="H8" s="85"/>
      <c r="I8" s="86"/>
    </row>
    <row r="9" spans="1:9" ht="12.75">
      <c r="A9" s="48" t="s">
        <v>51</v>
      </c>
      <c r="B9" s="54">
        <f>'Sup.Ct.'!J10</f>
        <v>4114</v>
      </c>
      <c r="C9" s="87"/>
      <c r="D9" s="88"/>
      <c r="E9" s="89"/>
      <c r="F9" s="54">
        <f>'Sup.Ct.'!N10</f>
        <v>47499</v>
      </c>
      <c r="G9" s="82"/>
      <c r="H9" s="83"/>
      <c r="I9" s="84"/>
    </row>
    <row r="10" spans="1:9" ht="12.75">
      <c r="A10" s="48" t="s">
        <v>52</v>
      </c>
      <c r="B10" s="54">
        <f>4788*3</f>
        <v>14364</v>
      </c>
      <c r="C10" s="87"/>
      <c r="D10" s="88"/>
      <c r="E10" s="89"/>
      <c r="F10" s="54">
        <f>9575*3</f>
        <v>28725</v>
      </c>
      <c r="G10" s="82"/>
      <c r="H10" s="83"/>
      <c r="I10" s="84"/>
    </row>
    <row r="11" spans="1:9" ht="12.75">
      <c r="A11" s="48" t="s">
        <v>53</v>
      </c>
      <c r="B11" s="54">
        <f>1514+1514+1377</f>
        <v>4405</v>
      </c>
      <c r="C11" s="87"/>
      <c r="D11" s="88"/>
      <c r="E11" s="89"/>
      <c r="F11" s="54">
        <f>3089+2808+3089</f>
        <v>8986</v>
      </c>
      <c r="G11" s="82"/>
      <c r="H11" s="83"/>
      <c r="I11" s="84"/>
    </row>
    <row r="12" spans="1:9" ht="12.75">
      <c r="A12" s="48" t="s">
        <v>54</v>
      </c>
      <c r="B12" s="54">
        <f>261+261+238</f>
        <v>760</v>
      </c>
      <c r="C12" s="87"/>
      <c r="D12" s="88"/>
      <c r="E12" s="89"/>
      <c r="F12" s="54">
        <f>533+533+485</f>
        <v>1551</v>
      </c>
      <c r="G12" s="82"/>
      <c r="H12" s="83"/>
      <c r="I12" s="84"/>
    </row>
    <row r="13" spans="1:9" ht="12.75">
      <c r="A13" s="48" t="s">
        <v>55</v>
      </c>
      <c r="B13" s="54">
        <f>168*3</f>
        <v>504</v>
      </c>
      <c r="C13" s="87"/>
      <c r="D13" s="88"/>
      <c r="E13" s="89"/>
      <c r="F13" s="54">
        <f>269*3</f>
        <v>807</v>
      </c>
      <c r="G13" s="82"/>
      <c r="H13" s="83"/>
      <c r="I13" s="84"/>
    </row>
    <row r="14" spans="1:9" ht="12.75">
      <c r="A14" s="48" t="s">
        <v>56</v>
      </c>
      <c r="B14" s="54">
        <v>300</v>
      </c>
      <c r="C14" s="87"/>
      <c r="D14" s="88"/>
      <c r="E14" s="89"/>
      <c r="F14" s="54">
        <v>200</v>
      </c>
      <c r="G14" s="82"/>
      <c r="H14" s="83"/>
      <c r="I14" s="84"/>
    </row>
    <row r="15" spans="1:9" ht="12.75">
      <c r="A15" s="48" t="s">
        <v>57</v>
      </c>
      <c r="B15" s="54">
        <v>2000</v>
      </c>
      <c r="C15" s="87"/>
      <c r="D15" s="88"/>
      <c r="E15" s="89"/>
      <c r="F15" s="54">
        <v>2500</v>
      </c>
      <c r="G15" s="82"/>
      <c r="H15" s="83"/>
      <c r="I15" s="84"/>
    </row>
    <row r="16" spans="1:9" ht="12.75">
      <c r="A16" s="48" t="s">
        <v>58</v>
      </c>
      <c r="B16" s="54">
        <v>4468</v>
      </c>
      <c r="C16" s="87"/>
      <c r="D16" s="88"/>
      <c r="E16" s="89"/>
      <c r="F16" s="54"/>
      <c r="G16" s="82"/>
      <c r="H16" s="83"/>
      <c r="I16" s="84"/>
    </row>
    <row r="17" spans="1:9" ht="12.75">
      <c r="A17" s="48" t="s">
        <v>59</v>
      </c>
      <c r="B17" s="54"/>
      <c r="C17" s="87"/>
      <c r="D17" s="88"/>
      <c r="E17" s="89"/>
      <c r="F17" s="54"/>
      <c r="G17" s="82"/>
      <c r="H17" s="83"/>
      <c r="I17" s="84"/>
    </row>
    <row r="18" spans="1:9" ht="12.75">
      <c r="A18" s="48" t="s">
        <v>60</v>
      </c>
      <c r="B18" s="54"/>
      <c r="C18" s="87"/>
      <c r="D18" s="88"/>
      <c r="E18" s="89"/>
      <c r="F18" s="54"/>
      <c r="G18" s="82"/>
      <c r="H18" s="83"/>
      <c r="I18" s="84"/>
    </row>
    <row r="19" spans="1:9" ht="12.75">
      <c r="A19" s="48" t="s">
        <v>61</v>
      </c>
      <c r="B19" s="54"/>
      <c r="C19" s="87"/>
      <c r="D19" s="88"/>
      <c r="E19" s="89"/>
      <c r="F19" s="54"/>
      <c r="G19" s="82"/>
      <c r="H19" s="83"/>
      <c r="I19" s="84"/>
    </row>
    <row r="20" spans="1:9" ht="12.75">
      <c r="A20" s="48" t="s">
        <v>62</v>
      </c>
      <c r="B20" s="54"/>
      <c r="C20" s="87"/>
      <c r="D20" s="88"/>
      <c r="E20" s="89"/>
      <c r="F20" s="54"/>
      <c r="G20" s="82"/>
      <c r="H20" s="83"/>
      <c r="I20" s="84"/>
    </row>
    <row r="21" spans="1:9" ht="12.75">
      <c r="A21" s="48" t="s">
        <v>63</v>
      </c>
      <c r="B21" s="54">
        <v>757.41</v>
      </c>
      <c r="C21" s="87"/>
      <c r="D21" s="88"/>
      <c r="E21" s="89"/>
      <c r="F21" s="54">
        <v>800</v>
      </c>
      <c r="G21" s="82"/>
      <c r="H21" s="83"/>
      <c r="I21" s="84"/>
    </row>
    <row r="22" spans="1:9" ht="12.75">
      <c r="A22" s="48" t="s">
        <v>74</v>
      </c>
      <c r="B22" s="54">
        <f>'Sup.Ct.'!J7</f>
        <v>39089</v>
      </c>
      <c r="C22" s="87"/>
      <c r="D22" s="90"/>
      <c r="E22" s="91"/>
      <c r="F22" s="54">
        <f>'Sup.Ct.'!N7</f>
        <v>87971</v>
      </c>
      <c r="G22" s="82"/>
      <c r="H22" s="85"/>
      <c r="I22" s="86"/>
    </row>
    <row r="23" spans="1:9" ht="12.75">
      <c r="A23" s="48" t="s">
        <v>75</v>
      </c>
      <c r="B23" s="54">
        <f>'Sup.Ct.'!J11</f>
        <v>63693</v>
      </c>
      <c r="C23" s="87"/>
      <c r="D23" s="88"/>
      <c r="E23" s="89"/>
      <c r="F23" s="54">
        <f>'Sup.Ct.'!N11</f>
        <v>142310</v>
      </c>
      <c r="G23" s="82"/>
      <c r="H23" s="83"/>
      <c r="I23" s="84"/>
    </row>
    <row r="24" spans="1:9" ht="12.75">
      <c r="A24" s="48" t="s">
        <v>64</v>
      </c>
      <c r="B24" s="54"/>
      <c r="C24" s="87"/>
      <c r="D24" s="88"/>
      <c r="E24" s="89"/>
      <c r="F24" s="54"/>
      <c r="G24" s="82"/>
      <c r="H24" s="83"/>
      <c r="I24" s="84"/>
    </row>
    <row r="25" spans="1:9" ht="12.75">
      <c r="A25" s="48" t="s">
        <v>65</v>
      </c>
      <c r="B25" s="54"/>
      <c r="C25" s="87"/>
      <c r="D25" s="88"/>
      <c r="E25" s="89"/>
      <c r="F25" s="54">
        <v>480</v>
      </c>
      <c r="G25" s="82"/>
      <c r="H25" s="83"/>
      <c r="I25" s="84"/>
    </row>
    <row r="26" spans="1:9" ht="12.75">
      <c r="A26" s="48" t="s">
        <v>66</v>
      </c>
      <c r="B26" s="54">
        <f>'Sup.Ct.'!J25</f>
        <v>540</v>
      </c>
      <c r="C26" s="87"/>
      <c r="D26" s="88"/>
      <c r="E26" s="89"/>
      <c r="F26" s="54"/>
      <c r="G26" s="82"/>
      <c r="H26" s="83"/>
      <c r="I26" s="84"/>
    </row>
    <row r="27" spans="1:9" ht="12.75">
      <c r="A27" s="48" t="s">
        <v>67</v>
      </c>
      <c r="B27" s="54">
        <f>'Sup.Ct.'!J12</f>
        <v>25100</v>
      </c>
      <c r="C27" s="87"/>
      <c r="D27" s="88"/>
      <c r="E27" s="89"/>
      <c r="F27" s="54">
        <v>875</v>
      </c>
      <c r="G27" s="82"/>
      <c r="H27" s="83"/>
      <c r="I27" s="84"/>
    </row>
    <row r="28" spans="1:9" ht="12.75">
      <c r="A28" s="48" t="s">
        <v>68</v>
      </c>
      <c r="B28" s="54">
        <v>4450</v>
      </c>
      <c r="C28" s="87"/>
      <c r="D28" s="88"/>
      <c r="E28" s="89"/>
      <c r="F28" s="54">
        <v>8900</v>
      </c>
      <c r="G28" s="82"/>
      <c r="H28" s="83"/>
      <c r="I28" s="84"/>
    </row>
    <row r="29" spans="1:9" ht="12.75">
      <c r="A29" s="48" t="s">
        <v>69</v>
      </c>
      <c r="B29" s="54"/>
      <c r="C29" s="87"/>
      <c r="D29" s="88"/>
      <c r="E29" s="89"/>
      <c r="F29" s="54"/>
      <c r="G29" s="82"/>
      <c r="H29" s="83"/>
      <c r="I29" s="84"/>
    </row>
    <row r="30" spans="1:9" ht="12.75">
      <c r="A30" s="48" t="s">
        <v>76</v>
      </c>
      <c r="B30" s="54"/>
      <c r="C30" s="87"/>
      <c r="D30" s="88"/>
      <c r="E30" s="89"/>
      <c r="F30" s="54">
        <f>'Sup.Ct.'!N13</f>
        <v>86066</v>
      </c>
      <c r="G30" s="82"/>
      <c r="H30" s="83"/>
      <c r="I30" s="84"/>
    </row>
    <row r="31" spans="1:9" ht="12.75">
      <c r="A31" s="48" t="s">
        <v>77</v>
      </c>
      <c r="B31" s="54"/>
      <c r="C31" s="87"/>
      <c r="D31" s="88"/>
      <c r="E31" s="89"/>
      <c r="F31" s="54"/>
      <c r="G31" s="82"/>
      <c r="H31" s="83"/>
      <c r="I31" s="84"/>
    </row>
    <row r="32" spans="1:9" ht="12.75">
      <c r="A32" s="48" t="s">
        <v>70</v>
      </c>
      <c r="B32" s="54"/>
      <c r="C32" s="87"/>
      <c r="D32" s="88"/>
      <c r="E32" s="89"/>
      <c r="F32" s="54"/>
      <c r="G32" s="82"/>
      <c r="H32" s="83"/>
      <c r="I32" s="84"/>
    </row>
    <row r="33" spans="1:9" ht="12.75">
      <c r="A33" s="48" t="s">
        <v>78</v>
      </c>
      <c r="B33" s="54">
        <f>'Sup.Ct.'!J30+'Sup.Ct.'!J28+'Sup.Ct.'!J22+'Sup.Ct.'!J24</f>
        <v>27000</v>
      </c>
      <c r="C33" s="87"/>
      <c r="D33" s="88"/>
      <c r="E33" s="89"/>
      <c r="F33" s="54"/>
      <c r="G33" s="82"/>
      <c r="H33" s="83"/>
      <c r="I33" s="84"/>
    </row>
    <row r="34" spans="1:9" ht="12.75">
      <c r="A34" s="48" t="s">
        <v>71</v>
      </c>
      <c r="B34" s="54"/>
      <c r="C34" s="87"/>
      <c r="D34" s="88"/>
      <c r="E34" s="89"/>
      <c r="F34" s="54"/>
      <c r="G34" s="82"/>
      <c r="H34" s="83"/>
      <c r="I34" s="84"/>
    </row>
    <row r="35" spans="1:9" ht="12.75">
      <c r="A35" s="48" t="s">
        <v>72</v>
      </c>
      <c r="B35" s="54"/>
      <c r="C35" s="87"/>
      <c r="D35" s="88"/>
      <c r="E35" s="89"/>
      <c r="F35" s="54"/>
      <c r="G35" s="82"/>
      <c r="H35" s="83"/>
      <c r="I35" s="84"/>
    </row>
    <row r="36" spans="1:9" ht="12.75">
      <c r="A36" s="48" t="s">
        <v>73</v>
      </c>
      <c r="B36" s="54">
        <f>'Sup.Ct.'!J26</f>
        <v>10000</v>
      </c>
      <c r="C36" s="87"/>
      <c r="D36" s="88"/>
      <c r="E36" s="89"/>
      <c r="F36" s="54"/>
      <c r="G36" s="82"/>
      <c r="H36" s="83"/>
      <c r="I36" s="84"/>
    </row>
    <row r="37" spans="1:9" ht="12.75">
      <c r="A37" s="55"/>
      <c r="B37" s="54">
        <f>SUM(B7:B36)</f>
        <v>306813.41000000003</v>
      </c>
      <c r="C37" s="56"/>
      <c r="D37" s="56"/>
      <c r="E37" s="56"/>
      <c r="F37" s="54">
        <f>SUM(F7:F36)</f>
        <v>637930</v>
      </c>
      <c r="G37" s="51"/>
      <c r="H37" s="51"/>
      <c r="I37" s="52"/>
    </row>
    <row r="38" spans="2:9" ht="12.75">
      <c r="B38" s="57"/>
      <c r="C38" s="57"/>
      <c r="D38" s="57"/>
      <c r="E38" s="57"/>
      <c r="F38" s="57"/>
      <c r="G38" s="50"/>
      <c r="H38" s="50"/>
      <c r="I38" s="50"/>
    </row>
    <row r="39" spans="1:9" ht="12.75">
      <c r="A39" s="21" t="s">
        <v>79</v>
      </c>
      <c r="B39" s="57"/>
      <c r="C39" s="57"/>
      <c r="D39" s="57"/>
      <c r="E39" s="57"/>
      <c r="F39" s="57"/>
      <c r="G39" s="50"/>
      <c r="H39" s="50"/>
      <c r="I39" s="50"/>
    </row>
    <row r="40" spans="1:9" ht="12.75">
      <c r="A40" s="21" t="s">
        <v>80</v>
      </c>
      <c r="B40" s="57"/>
      <c r="C40" s="57"/>
      <c r="D40" s="57"/>
      <c r="E40" s="57"/>
      <c r="F40" s="57"/>
      <c r="G40" s="50"/>
      <c r="H40" s="50"/>
      <c r="I40" s="50"/>
    </row>
    <row r="41" spans="2:9" ht="12.75">
      <c r="B41" s="57"/>
      <c r="C41" s="57"/>
      <c r="D41" s="57"/>
      <c r="E41" s="57"/>
      <c r="F41" s="57"/>
      <c r="G41" s="50"/>
      <c r="H41" s="50"/>
      <c r="I41" s="50"/>
    </row>
    <row r="42" spans="2:9" ht="12.75">
      <c r="B42" s="57"/>
      <c r="C42" s="57"/>
      <c r="D42" s="57"/>
      <c r="E42" s="57"/>
      <c r="F42" s="57"/>
      <c r="G42" s="50"/>
      <c r="H42" s="50"/>
      <c r="I42" s="50"/>
    </row>
    <row r="43" spans="2:9" ht="12.75">
      <c r="B43" s="57"/>
      <c r="C43" s="57"/>
      <c r="D43" s="57"/>
      <c r="E43" s="57"/>
      <c r="F43" s="57"/>
      <c r="G43" s="50"/>
      <c r="H43" s="50"/>
      <c r="I43" s="50"/>
    </row>
    <row r="44" spans="2:9" ht="12.75">
      <c r="B44" s="57"/>
      <c r="C44" s="57"/>
      <c r="D44" s="57"/>
      <c r="E44" s="57"/>
      <c r="F44" s="57"/>
      <c r="G44" s="50"/>
      <c r="H44" s="50"/>
      <c r="I44" s="50"/>
    </row>
    <row r="45" spans="2:9" ht="12.75">
      <c r="B45" s="57"/>
      <c r="C45" s="57"/>
      <c r="D45" s="57"/>
      <c r="E45" s="57"/>
      <c r="F45" s="57"/>
      <c r="G45" s="50"/>
      <c r="H45" s="50"/>
      <c r="I45" s="50"/>
    </row>
    <row r="46" spans="2:9" ht="12.75">
      <c r="B46" s="57"/>
      <c r="C46" s="57"/>
      <c r="D46" s="57"/>
      <c r="E46" s="57"/>
      <c r="F46" s="57"/>
      <c r="G46" s="50"/>
      <c r="H46" s="50"/>
      <c r="I46" s="50"/>
    </row>
    <row r="47" spans="2:9" ht="12.75">
      <c r="B47" s="57"/>
      <c r="C47" s="57"/>
      <c r="D47" s="57"/>
      <c r="E47" s="57"/>
      <c r="F47" s="57"/>
      <c r="G47" s="50"/>
      <c r="H47" s="50"/>
      <c r="I47" s="50"/>
    </row>
    <row r="48" spans="2:9" ht="12.75">
      <c r="B48" s="57"/>
      <c r="C48" s="57"/>
      <c r="D48" s="57"/>
      <c r="E48" s="57"/>
      <c r="F48" s="57"/>
      <c r="G48" s="50"/>
      <c r="H48" s="50"/>
      <c r="I48" s="50"/>
    </row>
  </sheetData>
  <mergeCells count="60"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5:I35"/>
    <mergeCell ref="G36:I36"/>
    <mergeCell ref="G31:I31"/>
    <mergeCell ref="G32:I32"/>
    <mergeCell ref="G33:I33"/>
    <mergeCell ref="G34:I34"/>
  </mergeCells>
  <printOptions/>
  <pageMargins left="0" right="0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Office of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Goldberg</dc:creator>
  <cp:keywords/>
  <dc:description/>
  <cp:lastModifiedBy>Angel Allende</cp:lastModifiedBy>
  <cp:lastPrinted>2003-03-12T17:07:14Z</cp:lastPrinted>
  <dcterms:created xsi:type="dcterms:W3CDTF">2002-05-14T19:01:29Z</dcterms:created>
  <dcterms:modified xsi:type="dcterms:W3CDTF">2003-04-16T18:26:45Z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1001159383</vt:i4>
  </property>
  <property fmtid="{D5CDD505-2E9C-101B-9397-08002B2CF9AE}" pid="3" name="_EmailSubject">
    <vt:lpwstr>The Final Ridgway Package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-738251515</vt:i4>
  </property>
  <property fmtid="{D5CDD505-2E9C-101B-9397-08002B2CF9AE}" pid="7" name="_ReviewingToolsShownOnce">
    <vt:lpwstr/>
  </property>
</Properties>
</file>