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61" yWindow="285" windowWidth="22920" windowHeight="9435" firstSheet="4" activeTab="4"/>
  </bookViews>
  <sheets>
    <sheet name="1.  Instructions" sheetId="3" state="hidden" r:id="rId1"/>
    <sheet name="2a.  Simple Form Data Entry" sheetId="2" state="hidden" r:id="rId2"/>
    <sheet name="3a.  Simple Form Fiscal Note" sheetId="1" state="hidden" r:id="rId3"/>
    <sheet name="2b.  Complex Form Data Entry" sheetId="9" state="hidden" r:id="rId4"/>
    <sheet name="3b.  Complex Form Fiscal Note" sheetId="10" r:id="rId5"/>
  </sheets>
  <definedNames>
    <definedName name="_xlnm.Print_Area" localSheetId="2">'3a.  Simple Form Fiscal Note'!$A$1:$S$121</definedName>
    <definedName name="_xlnm.Print_Area" localSheetId="4">'3b.  Complex Form Fiscal Note'!$A$1:$S$137</definedName>
  </definedNames>
  <calcPr calcId="145621"/>
</workbook>
</file>

<file path=xl/sharedStrings.xml><?xml version="1.0" encoding="utf-8"?>
<sst xmlns="http://schemas.openxmlformats.org/spreadsheetml/2006/main" count="729" uniqueCount="209">
  <si>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</si>
  <si>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</si>
  <si>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</si>
  <si>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</si>
  <si>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</si>
  <si>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</si>
  <si>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</si>
  <si>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</si>
  <si>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</si>
  <si>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</si>
  <si>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</si>
  <si>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</si>
  <si>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</si>
  <si>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</si>
  <si>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</si>
  <si>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</si>
  <si>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</si>
  <si>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</si>
  <si>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</si>
  <si>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</si>
  <si>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</si>
  <si>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</si>
  <si>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</si>
  <si>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</si>
  <si>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</si>
  <si>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</si>
  <si>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</si>
  <si>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</si>
  <si>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</si>
  <si>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</si>
  <si>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</si>
  <si>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</si>
  <si>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</si>
  <si>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</si>
  <si>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</si>
  <si>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</si>
  <si>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</si>
  <si>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</si>
  <si>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</si>
  <si>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</si>
  <si>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</si>
  <si>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</si>
  <si>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</si>
  <si>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</si>
  <si>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</si>
  <si>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</si>
  <si>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</si>
  <si>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</si>
  <si>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</si>
  <si>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</si>
  <si>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</si>
  <si>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</si>
  <si>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</si>
  <si>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</si>
  <si>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</si>
  <si>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</si>
  <si>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</si>
  <si>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</si>
  <si>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</si>
  <si>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</si>
  <si>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</si>
  <si>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</si>
  <si>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</si>
  <si>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</si>
  <si>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</si>
  <si>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</si>
  <si>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</si>
  <si>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</si>
  <si>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</si>
  <si>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</si>
  <si>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</si>
  <si>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</si>
  <si>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</si>
  <si>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</si>
  <si>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</si>
  <si>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</si>
  <si>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</si>
  <si>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</si>
  <si>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</si>
  <si>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</si>
  <si>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</si>
  <si>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</si>
  <si>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</si>
  <si>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</si>
  <si>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</si>
  <si>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</si>
  <si>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</si>
  <si>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</si>
  <si>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</si>
  <si>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</si>
  <si>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</si>
  <si>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</si>
  <si>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</si>
  <si>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</si>
  <si>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</si>
  <si>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</si>
  <si>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</si>
  <si>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</si>
  <si>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</si>
  <si>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</si>
  <si>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</si>
  <si>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</si>
  <si>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</si>
  <si>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</si>
  <si>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</si>
  <si>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</si>
  <si>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</si>
  <si>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</si>
  <si>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</si>
  <si>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</si>
  <si>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</si>
  <si>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</si>
  <si>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</si>
  <si>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</si>
  <si>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</si>
  <si>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</si>
  <si>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</si>
  <si>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</si>
  <si>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</si>
  <si>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</si>
  <si>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</si>
  <si>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</si>
  <si>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</si>
  <si>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</si>
  <si>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</si>
  <si>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</si>
  <si>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</si>
  <si>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</si>
  <si>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</si>
  <si>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</si>
  <si>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</si>
  <si>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</si>
  <si>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</si>
  <si>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</si>
  <si>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</si>
  <si>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</si>
  <si>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</si>
  <si>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</si>
  <si>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</si>
  <si>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</si>
  <si>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</si>
  <si>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</si>
  <si>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</si>
  <si>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</si>
  <si>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</si>
  <si>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</si>
  <si>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</si>
  <si>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</si>
  <si>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</si>
  <si>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</si>
  <si>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</si>
  <si>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</si>
  <si>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</si>
  <si>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</si>
  <si>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Northshore Public Health Center at 10808 NE 145th St, Bothell</t>
  </si>
  <si>
    <t xml:space="preserve">Sale of Northshore Public Health Center  </t>
  </si>
  <si>
    <t>Public Health, FMD/Real Estate Services</t>
  </si>
  <si>
    <t>Sale</t>
  </si>
  <si>
    <t>Stand Alone</t>
  </si>
  <si>
    <t>Carolyn Mock/Kate Donley</t>
  </si>
  <si>
    <t>Public Health</t>
  </si>
  <si>
    <t>A80000</t>
  </si>
  <si>
    <t>FMD/Real Estate Services</t>
  </si>
  <si>
    <t>A44000</t>
  </si>
  <si>
    <t>0440</t>
  </si>
  <si>
    <t>0010</t>
  </si>
  <si>
    <t>Arts &amp; Cultural Development</t>
  </si>
  <si>
    <t>A30100</t>
  </si>
  <si>
    <t>FMD Building Repair &amp; Replacement</t>
  </si>
  <si>
    <t>A60500</t>
  </si>
  <si>
    <t>0605</t>
  </si>
  <si>
    <t>3951</t>
  </si>
  <si>
    <t>1114654</t>
  </si>
  <si>
    <t>1046360</t>
  </si>
  <si>
    <t>1047323</t>
  </si>
  <si>
    <t>An NPV analysis was not performed because this transaction is a sale with no viable cost/benefit alternatives.</t>
  </si>
  <si>
    <t>34187 Costs Real Property Sales</t>
  </si>
  <si>
    <t>Due Diligence, Appraisal Review, Marketing, Legislation</t>
  </si>
  <si>
    <t>FMD Labor Costs</t>
  </si>
  <si>
    <t>10% for Arts per KCC 4.56.130</t>
  </si>
  <si>
    <t>Short Term Leaseback @$13,564.17/month; 3 month term</t>
  </si>
  <si>
    <t>The new revenue will be received when sale closes.</t>
  </si>
  <si>
    <t xml:space="preserve">-  Per KCC 4.56.130, on transactions with gross sale proceeds of $250,000 or greater that are to accrue to the current expense fund, 10% of gross sale proceeds are to be deposited in the Arts &amp; Cultural Development Fund.  </t>
  </si>
  <si>
    <t>-  Building Repair &amp; Replacement Fund to be replenished from sale proceeds for TI costs for new leased space at Evergreen Medical Center</t>
  </si>
  <si>
    <t>-  This property is a General Fund asset with sale proceeds to be transferred to Public Health.</t>
  </si>
  <si>
    <t>General Fund</t>
  </si>
  <si>
    <t>A69900</t>
  </si>
  <si>
    <t>Broker Commission @ 4.75%</t>
  </si>
  <si>
    <t>Tenant Improvements for new leased space at Evergreen Medical Center</t>
  </si>
  <si>
    <r>
      <t xml:space="preserve">-  Leaseback agreement effective if Public Health has not vacated by time sale closes (3 months with two 3 month options to extend).  If Public Health relocates before closing the leaseback agreement will </t>
    </r>
    <r>
      <rPr>
        <u val="single"/>
        <sz val="11"/>
        <rFont val="Arial"/>
        <family val="2"/>
      </rPr>
      <t>not</t>
    </r>
    <r>
      <rPr>
        <sz val="11"/>
        <rFont val="Arial"/>
        <family val="2"/>
      </rPr>
      <t xml:space="preserve"> be executed.</t>
    </r>
  </si>
  <si>
    <t>Reimbursement for Tenant Improvements</t>
  </si>
  <si>
    <t>-  Tenant Improvements for new leased space at Evergreen Medical Center = $1,087,846 less Allowance of $232,160, cost to KC = $855,686.  Appropriation request for Building Repair &amp; Replacement Fund under separate ordinance.</t>
  </si>
  <si>
    <t>39512 Sale of Land - 10% for Art</t>
  </si>
  <si>
    <t>-  HVAC system replacement to be handled by Buyer using $132,500 held back in escrow from King County's net proceeds</t>
  </si>
  <si>
    <t>39512 Sale of Land (net after commission to Broker, HVAC deduction &amp; other distributions listed below)</t>
  </si>
  <si>
    <t>HVAC System Replacement - to be held back in escrow</t>
  </si>
  <si>
    <t>-  Sale proceeds to KC: sale price $4,100,000 less broker commission (4.75%) $194,750 and deduction for HVAC system $132,500 = $3,772,750</t>
  </si>
  <si>
    <t>7/26/16</t>
  </si>
  <si>
    <t>Appraisal Contracts, Title Report, Appraisal Review</t>
  </si>
  <si>
    <t>39512   Broker ($194,750) and HVAC deduction ($132,500)</t>
  </si>
  <si>
    <t>39780  General Fund (Disappropriation of remaining HVAC proj.)</t>
  </si>
  <si>
    <t>General Fund Transfer to CIP</t>
  </si>
  <si>
    <t>Non-County entity (purchaser)</t>
  </si>
  <si>
    <t>Net Total for Public Health Operating</t>
  </si>
  <si>
    <t>39512 Gross Sale of Land/Fair Market Value</t>
  </si>
  <si>
    <t>39512 Net Sale of Land</t>
  </si>
  <si>
    <t>Sid Bender</t>
  </si>
  <si>
    <t>-  Site has existing cell tower lease. Loss of revenue from lease assignment = approx $55,000 per year for $204,053 over remaining term of lease expiring 7/31/2020.  Partially offset by $44,000 per year operating cost savings to Public Health.</t>
  </si>
  <si>
    <t>King County Total Sale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</si>
</sst>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8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23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5" fillId="0" borderId="0" xfId="0" applyFont="1" applyBorder="1" applyAlignment="1" applyProtection="1">
      <alignment vertical="top" wrapText="1"/>
      <protection/>
    </xf>
    <xf numFmtId="0" fontId="0" fillId="3" borderId="27" xfId="0" applyFont="1" applyFill="1" applyBorder="1" applyAlignment="1" applyProtection="1">
      <alignment horizontal="left" wrapText="1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49" fontId="32" fillId="3" borderId="27" xfId="0" applyNumberFormat="1" applyFont="1" applyFill="1" applyBorder="1" applyProtection="1"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>
      <alignment horizontal="center" wrapText="1"/>
    </xf>
    <xf numFmtId="166" fontId="32" fillId="3" borderId="31" xfId="16" applyNumberFormat="1" applyFont="1" applyFill="1" applyBorder="1" applyAlignment="1" applyProtection="1">
      <alignment vertical="top"/>
      <protection locked="0"/>
    </xf>
    <xf numFmtId="0" fontId="0" fillId="3" borderId="27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37" fontId="0" fillId="0" borderId="0" xfId="0" applyNumberFormat="1"/>
    <xf numFmtId="164" fontId="0" fillId="0" borderId="21" xfId="18" applyNumberFormat="1" applyFont="1" applyBorder="1"/>
    <xf numFmtId="0" fontId="1" fillId="0" borderId="0" xfId="0" applyNumberFormat="1" applyFont="1" applyFill="1" applyBorder="1"/>
    <xf numFmtId="0" fontId="0" fillId="0" borderId="9" xfId="0" applyFont="1" applyBorder="1"/>
    <xf numFmtId="0" fontId="1" fillId="0" borderId="9" xfId="0" applyFont="1" applyFill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1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5" xfId="0" applyNumberFormat="1" applyFont="1" applyFill="1" applyBorder="1" applyAlignment="1">
      <alignment horizontal="center" wrapText="1"/>
    </xf>
    <xf numFmtId="14" fontId="21" fillId="0" borderId="0" xfId="0" applyNumberFormat="1" applyFont="1" applyFill="1" applyBorder="1" applyAlignment="1">
      <alignment horizontal="left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2" fillId="5" borderId="27" xfId="20" applyNumberFormat="1" applyFont="1" applyFill="1" applyBorder="1" applyAlignment="1" applyProtection="1" quotePrefix="1">
      <alignment vertical="center" wrapText="1"/>
      <protection/>
    </xf>
    <xf numFmtId="49" fontId="32" fillId="5" borderId="28" xfId="20" applyNumberFormat="1" applyFont="1" applyFill="1" applyBorder="1" applyAlignment="1" applyProtection="1" quotePrefix="1">
      <alignment vertical="center" wrapText="1"/>
      <protection/>
    </xf>
    <xf numFmtId="49" fontId="32" fillId="5" borderId="30" xfId="20" applyNumberFormat="1" applyFont="1" applyFill="1" applyBorder="1" applyAlignment="1" applyProtection="1" quotePrefix="1">
      <alignment vertical="center" wrapText="1"/>
      <protection/>
    </xf>
    <xf numFmtId="49" fontId="32" fillId="5" borderId="27" xfId="2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2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20" applyNumberFormat="1" applyFont="1" applyFill="1" applyBorder="1" applyAlignment="1" applyProtection="1" quotePrefix="1">
      <alignment vertical="center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 quotePrefix="1">
      <alignment vertical="top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0" fontId="9" fillId="0" borderId="55" xfId="0" applyFont="1" applyBorder="1"/>
    <xf numFmtId="0" fontId="1" fillId="0" borderId="55" xfId="0" applyFont="1" applyBorder="1"/>
    <xf numFmtId="166" fontId="1" fillId="0" borderId="50" xfId="16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0" fillId="0" borderId="56" xfId="0" applyFont="1" applyBorder="1" applyAlignment="1">
      <alignment horizontal="center" wrapText="1"/>
    </xf>
    <xf numFmtId="0" fontId="1" fillId="0" borderId="21" xfId="0" applyFont="1" applyFill="1" applyBorder="1"/>
    <xf numFmtId="0" fontId="1" fillId="0" borderId="21" xfId="0" applyFont="1" applyBorder="1"/>
    <xf numFmtId="0" fontId="1" fillId="0" borderId="21" xfId="0" applyFont="1" applyBorder="1" applyAlignment="1">
      <alignment horizontal="center" wrapText="1"/>
    </xf>
    <xf numFmtId="166" fontId="1" fillId="0" borderId="21" xfId="16" applyNumberFormat="1" applyFont="1" applyBorder="1" applyAlignment="1">
      <alignment horizontal="center" wrapText="1"/>
    </xf>
    <xf numFmtId="0" fontId="0" fillId="0" borderId="21" xfId="0" applyFont="1" applyBorder="1"/>
    <xf numFmtId="0" fontId="1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7">
      <selection activeCell="H53" sqref="H53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06" t="s">
        <v>60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148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90" t="s">
        <v>76</v>
      </c>
      <c r="E11" s="390"/>
      <c r="F11" s="39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4" t="s">
        <v>75</v>
      </c>
      <c r="E12" s="384"/>
      <c r="F12" s="385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4" t="s">
        <v>74</v>
      </c>
      <c r="E13" s="384"/>
      <c r="F13" s="385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00" t="s">
        <v>73</v>
      </c>
      <c r="E14" s="384"/>
      <c r="F14" s="385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4" t="s">
        <v>72</v>
      </c>
      <c r="E15" s="384"/>
      <c r="F15" s="385"/>
      <c r="G15" s="138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4" t="s">
        <v>103</v>
      </c>
      <c r="E16" s="384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4" t="s">
        <v>69</v>
      </c>
      <c r="E17" s="384"/>
      <c r="F17" s="385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90" t="s">
        <v>70</v>
      </c>
      <c r="E18" s="390"/>
      <c r="F18" s="39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90" t="s">
        <v>137</v>
      </c>
      <c r="E19" s="390"/>
      <c r="F19" s="39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08" t="s">
        <v>34</v>
      </c>
      <c r="H20" s="408"/>
      <c r="I20" s="40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09" t="s">
        <v>125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140</v>
      </c>
      <c r="D39" s="399" t="s">
        <v>141</v>
      </c>
      <c r="E39" s="399"/>
      <c r="F39" s="399"/>
      <c r="G39" s="195"/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04" t="s">
        <v>77</v>
      </c>
      <c r="E40" s="404"/>
      <c r="F40" s="405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04" t="s">
        <v>78</v>
      </c>
      <c r="E41" s="404"/>
      <c r="F41" s="405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2" t="s">
        <v>134</v>
      </c>
      <c r="E43" s="393"/>
      <c r="F43" s="393"/>
      <c r="G43" s="393"/>
      <c r="H43" s="393"/>
      <c r="I43" s="39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5" t="s">
        <v>99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10" t="s">
        <v>20</v>
      </c>
      <c r="F57" s="410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6"/>
      <c r="F58" s="387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6" t="s">
        <v>84</v>
      </c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7"/>
      <c r="D69" s="407"/>
      <c r="E69" s="407"/>
      <c r="F69" s="407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04" t="s">
        <v>85</v>
      </c>
      <c r="F71" s="404"/>
      <c r="G71" s="404"/>
      <c r="H71" s="404"/>
      <c r="I71" s="404"/>
      <c r="J71" s="404"/>
      <c r="K71" s="404"/>
      <c r="L71" s="404"/>
      <c r="M71" s="404"/>
      <c r="N71" s="180"/>
      <c r="O71" s="211"/>
    </row>
    <row r="72" spans="2:15" ht="13.5" customHeight="1">
      <c r="B72" s="210"/>
      <c r="C72" s="268" t="s">
        <v>25</v>
      </c>
      <c r="D72" s="269"/>
      <c r="E72" s="388" t="s">
        <v>86</v>
      </c>
      <c r="F72" s="388"/>
      <c r="G72" s="388"/>
      <c r="H72" s="388"/>
      <c r="I72" s="388"/>
      <c r="J72" s="388"/>
      <c r="K72" s="388"/>
      <c r="L72" s="388"/>
      <c r="M72" s="388"/>
      <c r="N72" s="181"/>
      <c r="O72" s="211"/>
    </row>
    <row r="73" spans="2:15" ht="14.25">
      <c r="B73" s="210"/>
      <c r="C73" s="268" t="s">
        <v>53</v>
      </c>
      <c r="D73" s="269"/>
      <c r="E73" s="388" t="s">
        <v>87</v>
      </c>
      <c r="F73" s="389"/>
      <c r="G73" s="389"/>
      <c r="H73" s="389"/>
      <c r="I73" s="389"/>
      <c r="J73" s="389"/>
      <c r="K73" s="389"/>
      <c r="L73" s="389"/>
      <c r="M73" s="389"/>
      <c r="N73" s="179"/>
      <c r="O73" s="211"/>
    </row>
    <row r="74" spans="2:15" ht="14.25">
      <c r="B74" s="210"/>
      <c r="C74" s="398" t="s">
        <v>55</v>
      </c>
      <c r="D74" s="398"/>
      <c r="E74" s="388" t="s">
        <v>88</v>
      </c>
      <c r="F74" s="389"/>
      <c r="G74" s="389"/>
      <c r="H74" s="389"/>
      <c r="I74" s="389"/>
      <c r="J74" s="389"/>
      <c r="K74" s="389"/>
      <c r="L74" s="389"/>
      <c r="M74" s="389"/>
      <c r="N74" s="179"/>
      <c r="O74" s="211"/>
    </row>
    <row r="75" spans="2:15" ht="14.25" customHeight="1">
      <c r="B75" s="210"/>
      <c r="C75" s="402" t="s">
        <v>56</v>
      </c>
      <c r="D75" s="402"/>
      <c r="E75" s="388" t="s">
        <v>89</v>
      </c>
      <c r="F75" s="388"/>
      <c r="G75" s="388"/>
      <c r="H75" s="388"/>
      <c r="I75" s="388"/>
      <c r="J75" s="388"/>
      <c r="K75" s="388"/>
      <c r="L75" s="388"/>
      <c r="M75" s="388"/>
      <c r="N75" s="181"/>
      <c r="O75" s="211"/>
    </row>
    <row r="76" spans="2:15" ht="14.25">
      <c r="B76" s="210"/>
      <c r="C76" s="398" t="s">
        <v>57</v>
      </c>
      <c r="D76" s="398"/>
      <c r="E76" s="388"/>
      <c r="F76" s="389"/>
      <c r="G76" s="389"/>
      <c r="H76" s="389"/>
      <c r="I76" s="389"/>
      <c r="J76" s="389"/>
      <c r="K76" s="389"/>
      <c r="L76" s="389"/>
      <c r="M76" s="389"/>
      <c r="N76" s="179"/>
      <c r="O76" s="211"/>
    </row>
    <row r="77" spans="2:15" ht="15" customHeight="1">
      <c r="B77" s="210"/>
      <c r="C77" s="403" t="s">
        <v>26</v>
      </c>
      <c r="D77" s="403"/>
      <c r="E77" s="388" t="s">
        <v>90</v>
      </c>
      <c r="F77" s="389"/>
      <c r="G77" s="389"/>
      <c r="H77" s="389"/>
      <c r="I77" s="389"/>
      <c r="J77" s="389"/>
      <c r="K77" s="389"/>
      <c r="L77" s="389"/>
      <c r="M77" s="38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71" t="s">
        <v>40</v>
      </c>
      <c r="D81" s="371"/>
      <c r="E81" s="370" t="s">
        <v>22</v>
      </c>
      <c r="F81" s="37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4" t="s">
        <v>55</v>
      </c>
      <c r="D85" s="37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2" t="s">
        <v>56</v>
      </c>
      <c r="D86" s="373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4" t="s">
        <v>57</v>
      </c>
      <c r="D87" s="37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6" t="s">
        <v>26</v>
      </c>
      <c r="D88" s="37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71" t="s">
        <v>40</v>
      </c>
      <c r="D92" s="371"/>
      <c r="E92" s="370" t="s">
        <v>22</v>
      </c>
      <c r="F92" s="37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4" t="s">
        <v>55</v>
      </c>
      <c r="D96" s="37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2" t="s">
        <v>56</v>
      </c>
      <c r="D97" s="373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4" t="s">
        <v>57</v>
      </c>
      <c r="D98" s="37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6" t="s">
        <v>26</v>
      </c>
      <c r="D99" s="37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71" t="s">
        <v>40</v>
      </c>
      <c r="D103" s="371"/>
      <c r="E103" s="370" t="s">
        <v>22</v>
      </c>
      <c r="F103" s="37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74" t="s">
        <v>55</v>
      </c>
      <c r="D107" s="37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72" t="s">
        <v>56</v>
      </c>
      <c r="D108" s="373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74" t="s">
        <v>57</v>
      </c>
      <c r="D109" s="37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76" t="s">
        <v>26</v>
      </c>
      <c r="D110" s="37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71" t="s">
        <v>40</v>
      </c>
      <c r="D114" s="371"/>
      <c r="E114" s="370" t="s">
        <v>22</v>
      </c>
      <c r="F114" s="37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80" t="s">
        <v>55</v>
      </c>
      <c r="D118" s="38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78" t="s">
        <v>56</v>
      </c>
      <c r="D119" s="37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80" t="s">
        <v>57</v>
      </c>
      <c r="D120" s="38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82" t="s">
        <v>26</v>
      </c>
      <c r="D121" s="38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71" t="s">
        <v>40</v>
      </c>
      <c r="D125" s="371"/>
      <c r="E125" s="370" t="s">
        <v>22</v>
      </c>
      <c r="F125" s="37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80" t="s">
        <v>55</v>
      </c>
      <c r="D129" s="38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78" t="s">
        <v>56</v>
      </c>
      <c r="D130" s="37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80" t="s">
        <v>57</v>
      </c>
      <c r="D131" s="38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82" t="s">
        <v>26</v>
      </c>
      <c r="D132" s="38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71" t="s">
        <v>40</v>
      </c>
      <c r="D136" s="371"/>
      <c r="E136" s="370" t="s">
        <v>22</v>
      </c>
      <c r="F136" s="37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80" t="s">
        <v>55</v>
      </c>
      <c r="D140" s="38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78" t="s">
        <v>56</v>
      </c>
      <c r="D141" s="37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80" t="s">
        <v>57</v>
      </c>
      <c r="D142" s="38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82" t="s">
        <v>26</v>
      </c>
      <c r="D143" s="38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89" t="s">
        <v>100</v>
      </c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179"/>
      <c r="O148" s="224"/>
      <c r="P148" s="225"/>
      <c r="Q148" s="225"/>
    </row>
    <row r="149" spans="2:17" ht="12.75" customHeight="1">
      <c r="B149" s="210"/>
      <c r="C149" s="389" t="s">
        <v>132</v>
      </c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01" t="s">
        <v>18</v>
      </c>
      <c r="D155" s="401" t="s">
        <v>39</v>
      </c>
      <c r="E155" s="411" t="s">
        <v>23</v>
      </c>
      <c r="F155" s="41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70"/>
      <c r="D156" s="370"/>
      <c r="E156" s="412"/>
      <c r="F156" s="41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14" t="s">
        <v>146</v>
      </c>
      <c r="G171" s="415"/>
      <c r="H171" s="415"/>
      <c r="I171" s="415"/>
      <c r="J171" s="415"/>
      <c r="K171" s="415"/>
      <c r="L171" s="415"/>
      <c r="M171" s="415"/>
      <c r="N171" s="41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89" t="s">
        <v>152</v>
      </c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179"/>
      <c r="O173" s="224"/>
    </row>
    <row r="174" spans="2:15" ht="34.5" customHeight="1" thickBot="1">
      <c r="B174" s="210"/>
      <c r="C174" s="417" t="s">
        <v>123</v>
      </c>
      <c r="D174" s="418"/>
      <c r="E174" s="418"/>
      <c r="F174" s="418"/>
      <c r="G174" s="418"/>
      <c r="H174" s="418"/>
      <c r="I174" s="418"/>
      <c r="J174" s="418"/>
      <c r="K174" s="418"/>
      <c r="L174" s="418"/>
      <c r="M174" s="418"/>
      <c r="N174" s="419"/>
      <c r="O174" s="224"/>
    </row>
    <row r="175" spans="2:15" ht="34.5" customHeight="1" thickBot="1">
      <c r="B175" s="210"/>
      <c r="C175" s="420" t="s">
        <v>123</v>
      </c>
      <c r="D175" s="421"/>
      <c r="E175" s="421"/>
      <c r="F175" s="421"/>
      <c r="G175" s="421"/>
      <c r="H175" s="421"/>
      <c r="I175" s="421"/>
      <c r="J175" s="421"/>
      <c r="K175" s="421"/>
      <c r="L175" s="421"/>
      <c r="M175" s="421"/>
      <c r="N175" s="422"/>
      <c r="O175" s="224"/>
    </row>
    <row r="176" spans="2:15" ht="34.5" customHeight="1" thickBot="1">
      <c r="B176" s="210"/>
      <c r="C176" s="420" t="s">
        <v>123</v>
      </c>
      <c r="D176" s="421"/>
      <c r="E176" s="421"/>
      <c r="F176" s="421"/>
      <c r="G176" s="421"/>
      <c r="H176" s="421"/>
      <c r="I176" s="421"/>
      <c r="J176" s="421"/>
      <c r="K176" s="421"/>
      <c r="L176" s="421"/>
      <c r="M176" s="421"/>
      <c r="N176" s="422"/>
      <c r="O176" s="224"/>
    </row>
    <row r="177" spans="2:15" ht="34.5" customHeight="1" thickBot="1">
      <c r="B177" s="210"/>
      <c r="C177" s="420" t="s">
        <v>123</v>
      </c>
      <c r="D177" s="421"/>
      <c r="E177" s="421"/>
      <c r="F177" s="421"/>
      <c r="G177" s="421"/>
      <c r="H177" s="421"/>
      <c r="I177" s="421"/>
      <c r="J177" s="421"/>
      <c r="K177" s="421"/>
      <c r="L177" s="421"/>
      <c r="M177" s="421"/>
      <c r="N177" s="422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89" t="s">
        <v>153</v>
      </c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13"/>
      <c r="D202" s="413"/>
      <c r="E202" s="413"/>
      <c r="F202" s="413"/>
      <c r="G202" s="413"/>
      <c r="H202" s="413"/>
      <c r="I202" s="413"/>
      <c r="J202" s="413"/>
      <c r="K202" s="413"/>
      <c r="L202" s="413"/>
      <c r="M202" s="413"/>
      <c r="N202" s="413"/>
      <c r="O202" s="413"/>
      <c r="P202" s="413"/>
      <c r="Q202" s="413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zoomScale="90" zoomScaleNormal="90" workbookViewId="0" topLeftCell="A1">
      <selection activeCell="H101" sqref="H101:H10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51" t="s">
        <v>49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53" t="s">
        <v>31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1"/>
    </row>
    <row r="4" spans="1:20" ht="3" customHeight="1" thickBot="1" thickTop="1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1"/>
    </row>
    <row r="5" spans="1:19" ht="13.5">
      <c r="A5" s="448" t="s">
        <v>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20" ht="13.5">
      <c r="A6" s="444" t="s">
        <v>0</v>
      </c>
      <c r="B6" s="445"/>
      <c r="C6" s="443" t="str">
        <f>IF('2a.  Simple Form Data Entry'!G11="","   ",'2a.  Simple Form Data Entry'!G11)</f>
        <v xml:space="preserve">   </v>
      </c>
      <c r="D6" s="443"/>
      <c r="E6" s="443"/>
      <c r="F6" s="443"/>
      <c r="G6" s="443"/>
      <c r="H6" s="443"/>
      <c r="I6" s="443"/>
      <c r="J6" s="443"/>
      <c r="L6" s="293" t="s">
        <v>16</v>
      </c>
      <c r="M6" s="293"/>
      <c r="O6" s="72"/>
      <c r="Q6" s="72"/>
      <c r="R6" s="319" t="str">
        <f>IF('2a.  Simple Form Data Entry'!G17="","   ",'2a.  Simple Form Data Entry'!G17)</f>
        <v xml:space="preserve">   </v>
      </c>
      <c r="S6" s="71" t="s">
        <v>17</v>
      </c>
      <c r="T6" s="11"/>
    </row>
    <row r="7" spans="1:20" ht="13.5" customHeight="1">
      <c r="A7" s="449" t="s">
        <v>149</v>
      </c>
      <c r="B7" s="440"/>
      <c r="C7" s="450" t="str">
        <f>IF('2a.  Simple Form Data Entry'!G12="","   ",'2a.  Simple Form Data Entry'!G12)</f>
        <v xml:space="preserve">   </v>
      </c>
      <c r="D7" s="450"/>
      <c r="E7" s="450"/>
      <c r="F7" s="450"/>
      <c r="G7" s="450"/>
      <c r="H7" s="450"/>
      <c r="I7" s="450"/>
      <c r="J7" s="450"/>
      <c r="L7" s="102" t="s">
        <v>27</v>
      </c>
      <c r="M7" s="102"/>
      <c r="P7" s="73"/>
      <c r="Q7" s="73"/>
      <c r="R7" s="320">
        <f>'2a.  Simple Form Data Entry'!G18</f>
        <v>0</v>
      </c>
      <c r="S7" s="54"/>
      <c r="T7" s="11"/>
    </row>
    <row r="8" spans="1:24" ht="13.5" customHeight="1">
      <c r="A8" s="441" t="s">
        <v>2</v>
      </c>
      <c r="B8" s="442"/>
      <c r="C8" s="292" t="str">
        <f>IF('2a.  Simple Form Data Entry'!G15="","   ",'2a.  Simple Form Data Entry'!G15)</f>
        <v xml:space="preserve">   </v>
      </c>
      <c r="E8" s="292"/>
      <c r="F8" s="442" t="s">
        <v>8</v>
      </c>
      <c r="G8" s="442"/>
      <c r="H8" s="329" t="str">
        <f>IF('2a.  Simple Form Data Entry'!G15=""," ",'2a.  Simple Form Data Entry'!G16)</f>
        <v xml:space="preserve"> </v>
      </c>
      <c r="I8" s="292"/>
      <c r="J8" s="292"/>
      <c r="L8" s="440" t="s">
        <v>10</v>
      </c>
      <c r="M8" s="440"/>
      <c r="N8" s="440"/>
      <c r="O8" s="440"/>
      <c r="P8" s="74"/>
      <c r="Q8" s="74"/>
      <c r="R8" s="292" t="str">
        <f>IF('2a.  Simple Form Data Entry'!G13="","   ",'2a.  Simple Form Data Entry'!G13)</f>
        <v xml:space="preserve">   </v>
      </c>
      <c r="S8" s="328"/>
      <c r="T8" s="292"/>
      <c r="U8" s="292"/>
      <c r="V8" s="292"/>
      <c r="W8" s="292"/>
      <c r="X8" s="292"/>
    </row>
    <row r="9" spans="1:24" ht="13.5" customHeight="1">
      <c r="A9" s="441" t="s">
        <v>3</v>
      </c>
      <c r="B9" s="442"/>
      <c r="C9" s="295"/>
      <c r="D9" s="292"/>
      <c r="E9" s="292"/>
      <c r="F9" s="442" t="s">
        <v>13</v>
      </c>
      <c r="G9" s="442"/>
      <c r="H9" s="292"/>
      <c r="I9" s="292"/>
      <c r="J9" s="292"/>
      <c r="L9" s="440" t="s">
        <v>9</v>
      </c>
      <c r="M9" s="440"/>
      <c r="N9" s="440"/>
      <c r="O9" s="440"/>
      <c r="P9" s="55"/>
      <c r="Q9" s="55"/>
      <c r="R9" s="292" t="str">
        <f>IF('2a.  Simple Form Data Entry'!G14="","   ",'2a.  Simple Form Data Entry'!G14)</f>
        <v xml:space="preserve">   </v>
      </c>
      <c r="S9" s="328"/>
      <c r="T9" s="292"/>
      <c r="U9" s="292"/>
      <c r="V9" s="292"/>
      <c r="W9" s="292"/>
      <c r="X9" s="292"/>
    </row>
    <row r="10" spans="1:20" ht="12.75">
      <c r="A10" s="330" t="s">
        <v>148</v>
      </c>
      <c r="B10" s="331"/>
      <c r="C10" s="459" t="str">
        <f>IF('2a.  Simple Form Data Entry'!G10=""," ",'2a.  Simple Form Data Entry'!G10)</f>
        <v xml:space="preserve"> </v>
      </c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60"/>
      <c r="T10" s="11"/>
    </row>
    <row r="11" spans="1:20" ht="13.5" thickBot="1">
      <c r="A11" s="332"/>
      <c r="B11" s="333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53" t="s">
        <v>14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4" t="s">
        <v>32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58" t="s">
        <v>142</v>
      </c>
      <c r="B17" s="458"/>
      <c r="C17" s="458"/>
      <c r="D17" s="458"/>
      <c r="E17" s="455">
        <f>IF('2a.  Simple Form Data Entry'!G39="N","NA",'2a.  Simple Form Data Entry'!G40)</f>
        <v>0</v>
      </c>
      <c r="F17" s="456"/>
      <c r="G17" s="457"/>
      <c r="H17" s="494" t="s">
        <v>150</v>
      </c>
      <c r="I17" s="495"/>
      <c r="J17" s="495"/>
      <c r="K17" s="495"/>
      <c r="L17" s="495"/>
      <c r="M17" s="495"/>
      <c r="N17" s="310"/>
      <c r="O17" s="491">
        <f>IF('2a.  Simple Form Data Entry'!G39="N","NA",'2a.  Simple Form Data Entry'!G41)</f>
        <v>0</v>
      </c>
      <c r="P17" s="492"/>
      <c r="Q17" s="492"/>
      <c r="R17" s="492"/>
      <c r="S17" s="49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4" t="s">
        <v>33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143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144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84" t="str">
        <f>IF('2a.  Simple Form Data Entry'!E80="","   ",'2a.  Simple Form Data Entry'!E80)</f>
        <v xml:space="preserve">   </v>
      </c>
      <c r="B35" s="485"/>
      <c r="C35" s="486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36" t="s">
        <v>55</v>
      </c>
      <c r="C39" s="437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23" t="s">
        <v>56</v>
      </c>
      <c r="C40" s="424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36" t="s">
        <v>57</v>
      </c>
      <c r="C41" s="437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25" t="s">
        <v>26</v>
      </c>
      <c r="C42" s="426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7" t="str">
        <f>IF('2a.  Simple Form Data Entry'!E91="","   ",'2a.  Simple Form Data Entry'!E91)</f>
        <v xml:space="preserve">   </v>
      </c>
      <c r="B45" s="428"/>
      <c r="C45" s="429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36" t="s">
        <v>55</v>
      </c>
      <c r="C49" s="437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23" t="s">
        <v>56</v>
      </c>
      <c r="C50" s="424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36" t="s">
        <v>57</v>
      </c>
      <c r="C51" s="437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25" t="s">
        <v>26</v>
      </c>
      <c r="C52" s="426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27" t="str">
        <f>IF('2a.  Simple Form Data Entry'!E102="","   ",'2a.  Simple Form Data Entry'!E102)</f>
        <v xml:space="preserve">   </v>
      </c>
      <c r="B55" s="428"/>
      <c r="C55" s="429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36" t="s">
        <v>55</v>
      </c>
      <c r="C59" s="437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23" t="s">
        <v>56</v>
      </c>
      <c r="C60" s="424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36" t="s">
        <v>57</v>
      </c>
      <c r="C61" s="437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25" t="s">
        <v>26</v>
      </c>
      <c r="C62" s="426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27" t="str">
        <f>IF('2a.  Simple Form Data Entry'!E113="","   ",'2a.  Simple Form Data Entry'!E113)</f>
        <v xml:space="preserve">   </v>
      </c>
      <c r="B65" s="428"/>
      <c r="C65" s="429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36" t="s">
        <v>55</v>
      </c>
      <c r="C69" s="437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23" t="s">
        <v>56</v>
      </c>
      <c r="C70" s="424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36" t="s">
        <v>57</v>
      </c>
      <c r="C71" s="437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25" t="s">
        <v>26</v>
      </c>
      <c r="C72" s="426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27" t="str">
        <f>IF('2a.  Simple Form Data Entry'!E124="","   ",'2a.  Simple Form Data Entry'!E124)</f>
        <v xml:space="preserve">   </v>
      </c>
      <c r="B75" s="428"/>
      <c r="C75" s="429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36" t="s">
        <v>55</v>
      </c>
      <c r="C79" s="437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23" t="s">
        <v>56</v>
      </c>
      <c r="C80" s="424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36" t="s">
        <v>57</v>
      </c>
      <c r="C81" s="437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25" t="s">
        <v>26</v>
      </c>
      <c r="C82" s="426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27" t="str">
        <f>IF('2a.  Simple Form Data Entry'!E135="","   ",'2a.  Simple Form Data Entry'!E135)</f>
        <v xml:space="preserve">   </v>
      </c>
      <c r="B85" s="428"/>
      <c r="C85" s="429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36" t="s">
        <v>55</v>
      </c>
      <c r="C89" s="437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23" t="s">
        <v>56</v>
      </c>
      <c r="C90" s="424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36" t="s">
        <v>57</v>
      </c>
      <c r="C91" s="437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25" t="s">
        <v>26</v>
      </c>
      <c r="C92" s="426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52" t="s">
        <v>15</v>
      </c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30" t="s">
        <v>18</v>
      </c>
      <c r="B101" s="431"/>
      <c r="C101" s="432"/>
      <c r="D101" s="465" t="s">
        <v>19</v>
      </c>
      <c r="E101" s="465" t="s">
        <v>5</v>
      </c>
      <c r="F101" s="487" t="s">
        <v>104</v>
      </c>
      <c r="G101" s="465" t="s">
        <v>11</v>
      </c>
      <c r="H101" s="478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89" t="str">
        <f>CONCATENATE(L24," Appropriation Change")</f>
        <v>2015 / 2016 Appropriation Change</v>
      </c>
      <c r="P101" s="42"/>
      <c r="Q101" s="314"/>
      <c r="R101" s="471" t="s">
        <v>135</v>
      </c>
      <c r="S101" s="472"/>
      <c r="T101" s="42"/>
    </row>
    <row r="102" spans="1:20" ht="27.75" customHeight="1" thickBot="1">
      <c r="A102" s="433"/>
      <c r="B102" s="434"/>
      <c r="C102" s="435"/>
      <c r="D102" s="466"/>
      <c r="E102" s="466"/>
      <c r="F102" s="488"/>
      <c r="G102" s="466"/>
      <c r="H102" s="479"/>
      <c r="I102" s="316"/>
      <c r="J102" s="191" t="s">
        <v>24</v>
      </c>
      <c r="K102" s="287" t="str">
        <f>'2a.  Simple Form Data Entry'!H156</f>
        <v>Allocation Change</v>
      </c>
      <c r="L102" s="490"/>
      <c r="P102" s="42"/>
      <c r="Q102" s="314"/>
      <c r="R102" s="473"/>
      <c r="S102" s="474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67">
        <f>'2a.  Simple Form Data Entry'!J157</f>
        <v>0</v>
      </c>
      <c r="S103" s="468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69">
        <f>'2a.  Simple Form Data Entry'!J158</f>
        <v>0</v>
      </c>
      <c r="S104" s="470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69">
        <f>'2a.  Simple Form Data Entry'!J159</f>
        <v>0</v>
      </c>
      <c r="S105" s="470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69">
        <f>'2a.  Simple Form Data Entry'!J160</f>
        <v>0</v>
      </c>
      <c r="S106" s="470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69">
        <f>'2a.  Simple Form Data Entry'!J161</f>
        <v>0</v>
      </c>
      <c r="S107" s="470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69">
        <f>'2a.  Simple Form Data Entry'!J162</f>
        <v>0</v>
      </c>
      <c r="S108" s="470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82">
        <f>SUM(R103:S107)</f>
        <v>0</v>
      </c>
      <c r="S109" s="483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139</v>
      </c>
      <c r="B112" s="480" t="str">
        <f>IF('2a.  Simple Form Data Entry'!G39="Y","See note 5 below.",'2a.  Simple Form Data Entry'!D43)</f>
        <v>An NPV analysis was not performed because …</v>
      </c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5"/>
    </row>
    <row r="113" spans="1:20" ht="13.5">
      <c r="A113" s="68" t="s">
        <v>112</v>
      </c>
      <c r="B113" s="475" t="s">
        <v>147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5"/>
    </row>
    <row r="114" spans="1:20" ht="15" customHeight="1">
      <c r="A114" s="69" t="s">
        <v>52</v>
      </c>
      <c r="B114" s="476" t="s">
        <v>116</v>
      </c>
      <c r="C114" s="476"/>
      <c r="D114" s="476"/>
      <c r="E114" s="476"/>
      <c r="F114" s="476"/>
      <c r="G114" s="476"/>
      <c r="H114" s="476"/>
      <c r="I114" s="476"/>
      <c r="J114" s="476"/>
      <c r="K114" s="476"/>
      <c r="L114" s="476"/>
      <c r="M114" s="476"/>
      <c r="N114" s="476"/>
      <c r="O114" s="476"/>
      <c r="P114" s="476"/>
      <c r="Q114" s="476"/>
      <c r="R114" s="476"/>
      <c r="S114" s="476"/>
      <c r="T114" s="5"/>
    </row>
    <row r="115" spans="1:20" ht="13.5">
      <c r="A115" s="69" t="s">
        <v>113</v>
      </c>
      <c r="B115" s="47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77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5"/>
    </row>
    <row r="116" spans="1:20" ht="13.5" customHeight="1">
      <c r="A116" s="67" t="s">
        <v>114</v>
      </c>
      <c r="B116" s="46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5"/>
    </row>
    <row r="117" spans="1:20" ht="16.5" customHeight="1">
      <c r="A117" s="67" t="s">
        <v>118</v>
      </c>
      <c r="B117" s="463" t="s">
        <v>111</v>
      </c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5"/>
    </row>
    <row r="118" spans="1:19" ht="14.25" customHeight="1">
      <c r="A118" s="67"/>
      <c r="B118" s="481" t="str">
        <f>'2a.  Simple Form Data Entry'!C174</f>
        <v xml:space="preserve">- </v>
      </c>
      <c r="C118" s="481"/>
      <c r="D118" s="481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</row>
    <row r="119" spans="1:19" ht="13.5">
      <c r="A119" s="67"/>
      <c r="B119" s="481" t="str">
        <f>'2a.  Simple Form Data Entry'!C175</f>
        <v xml:space="preserve">- </v>
      </c>
      <c r="C119" s="481"/>
      <c r="D119" s="481"/>
      <c r="E119" s="481"/>
      <c r="F119" s="481"/>
      <c r="G119" s="481"/>
      <c r="H119" s="481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</row>
    <row r="120" spans="1:19" ht="12.75" customHeight="1">
      <c r="A120" s="67"/>
      <c r="B120" s="481" t="str">
        <f>'2a.  Simple Form Data Entry'!C176</f>
        <v xml:space="preserve">- </v>
      </c>
      <c r="C120" s="481"/>
      <c r="D120" s="481"/>
      <c r="E120" s="481"/>
      <c r="F120" s="481"/>
      <c r="G120" s="481"/>
      <c r="H120" s="481"/>
      <c r="I120" s="481"/>
      <c r="J120" s="481"/>
      <c r="K120" s="481"/>
      <c r="L120" s="481"/>
      <c r="M120" s="481"/>
      <c r="N120" s="481"/>
      <c r="O120" s="481"/>
      <c r="P120" s="481"/>
      <c r="Q120" s="481"/>
      <c r="R120" s="481"/>
      <c r="S120" s="481"/>
    </row>
    <row r="121" spans="1:19" ht="15" customHeight="1">
      <c r="A121" s="67"/>
      <c r="B121" s="481" t="str">
        <f>'2a.  Simple Form Data Entry'!C177</f>
        <v xml:space="preserve">- </v>
      </c>
      <c r="C121" s="481"/>
      <c r="D121" s="481"/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</row>
    <row r="122" spans="1:20" ht="13.5">
      <c r="A122" s="67"/>
      <c r="B122" s="481"/>
      <c r="C122" s="481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5"/>
    </row>
    <row r="123" spans="1:19" ht="13.5">
      <c r="A123" s="67"/>
      <c r="B123" s="481"/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</row>
    <row r="124" spans="1:19" ht="13.5">
      <c r="A124" t="str">
        <f>IF('2a.  Simple Form Data Entry'!C180=""," ","6.")</f>
        <v xml:space="preserve"> </v>
      </c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</row>
    <row r="125" spans="1:19" ht="13.5">
      <c r="A125" s="69"/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</row>
    <row r="126" spans="1:19" ht="13.5">
      <c r="A126" s="69"/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4"/>
  <sheetViews>
    <sheetView showGridLines="0" zoomScale="80" zoomScaleNormal="80" workbookViewId="0" topLeftCell="A52">
      <selection activeCell="H85" sqref="H8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06" t="s">
        <v>126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148</v>
      </c>
      <c r="D10" s="235"/>
      <c r="E10" s="235"/>
      <c r="F10" s="235"/>
      <c r="G10" s="336" t="s">
        <v>154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90" t="s">
        <v>76</v>
      </c>
      <c r="E11" s="390"/>
      <c r="F11" s="391"/>
      <c r="G11" s="336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4" t="s">
        <v>75</v>
      </c>
      <c r="E12" s="384"/>
      <c r="F12" s="385"/>
      <c r="G12" s="336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4" t="s">
        <v>74</v>
      </c>
      <c r="E13" s="384"/>
      <c r="F13" s="385"/>
      <c r="G13" s="336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00" t="s">
        <v>73</v>
      </c>
      <c r="E14" s="384"/>
      <c r="F14" s="385"/>
      <c r="G14" s="336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4" t="s">
        <v>72</v>
      </c>
      <c r="E15" s="384"/>
      <c r="F15" s="385"/>
      <c r="G15" s="336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4" t="s">
        <v>103</v>
      </c>
      <c r="E16" s="384"/>
      <c r="F16" s="240"/>
      <c r="G16" s="339" t="s">
        <v>197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4" t="s">
        <v>69</v>
      </c>
      <c r="E17" s="384"/>
      <c r="F17" s="385"/>
      <c r="G17" s="337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90" t="s">
        <v>70</v>
      </c>
      <c r="E18" s="390"/>
      <c r="F18" s="391"/>
      <c r="G18" s="338">
        <v>4100000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90" t="s">
        <v>137</v>
      </c>
      <c r="E19" s="390"/>
      <c r="F19" s="39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08" t="s">
        <v>34</v>
      </c>
      <c r="H20" s="408"/>
      <c r="I20" s="40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340" t="s">
        <v>160</v>
      </c>
      <c r="H21" s="341"/>
      <c r="I21" s="342"/>
      <c r="J21" s="343" t="s">
        <v>161</v>
      </c>
      <c r="K21" s="343">
        <v>900</v>
      </c>
      <c r="L21" s="343">
        <v>1800</v>
      </c>
      <c r="O21" s="211"/>
    </row>
    <row r="22" spans="2:15" ht="15" thickBot="1">
      <c r="B22" s="210"/>
      <c r="C22" s="243"/>
      <c r="D22" s="245"/>
      <c r="E22" s="245"/>
      <c r="F22" s="245"/>
      <c r="G22" s="340" t="s">
        <v>162</v>
      </c>
      <c r="H22" s="341"/>
      <c r="I22" s="342"/>
      <c r="J22" s="343" t="s">
        <v>163</v>
      </c>
      <c r="K22" s="344" t="s">
        <v>164</v>
      </c>
      <c r="L22" s="344" t="s">
        <v>165</v>
      </c>
      <c r="O22" s="211"/>
    </row>
    <row r="23" spans="2:15" ht="15" thickBot="1">
      <c r="B23" s="210"/>
      <c r="C23" s="243"/>
      <c r="D23" s="245"/>
      <c r="E23" s="245"/>
      <c r="F23" s="245"/>
      <c r="G23" s="340" t="s">
        <v>166</v>
      </c>
      <c r="H23" s="341"/>
      <c r="I23" s="342"/>
      <c r="J23" s="343" t="s">
        <v>167</v>
      </c>
      <c r="K23" s="343">
        <v>94</v>
      </c>
      <c r="L23" s="343">
        <v>1170</v>
      </c>
      <c r="O23" s="211"/>
    </row>
    <row r="24" spans="2:15" ht="15" thickBot="1">
      <c r="B24" s="210"/>
      <c r="C24" s="243"/>
      <c r="D24" s="245"/>
      <c r="E24" s="245"/>
      <c r="F24" s="245"/>
      <c r="G24" s="340" t="s">
        <v>168</v>
      </c>
      <c r="H24" s="341"/>
      <c r="I24" s="342"/>
      <c r="J24" s="343" t="s">
        <v>169</v>
      </c>
      <c r="K24" s="344" t="s">
        <v>170</v>
      </c>
      <c r="L24" s="344" t="s">
        <v>171</v>
      </c>
      <c r="O24" s="211"/>
    </row>
    <row r="25" spans="2:15" ht="15" thickBot="1">
      <c r="B25" s="210"/>
      <c r="C25" s="243"/>
      <c r="D25" s="245"/>
      <c r="E25" s="245"/>
      <c r="F25" s="245"/>
      <c r="G25" s="143" t="s">
        <v>185</v>
      </c>
      <c r="H25" s="144"/>
      <c r="I25" s="145"/>
      <c r="J25" s="146" t="s">
        <v>186</v>
      </c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345" t="s">
        <v>172</v>
      </c>
      <c r="H29" s="345" t="s">
        <v>173</v>
      </c>
      <c r="I29" s="345" t="s">
        <v>174</v>
      </c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09" t="s">
        <v>125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140</v>
      </c>
      <c r="D39" s="399" t="s">
        <v>141</v>
      </c>
      <c r="E39" s="399"/>
      <c r="F39" s="39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04" t="s">
        <v>77</v>
      </c>
      <c r="E40" s="404"/>
      <c r="F40" s="405"/>
      <c r="G40" s="297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04" t="s">
        <v>78</v>
      </c>
      <c r="E41" s="404"/>
      <c r="F41" s="405"/>
      <c r="G41" s="297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2" t="s">
        <v>175</v>
      </c>
      <c r="E43" s="393"/>
      <c r="F43" s="393"/>
      <c r="G43" s="393"/>
      <c r="H43" s="393"/>
      <c r="I43" s="39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5" t="s">
        <v>99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10" t="s">
        <v>20</v>
      </c>
      <c r="F57" s="410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348" t="s">
        <v>160</v>
      </c>
      <c r="D58" s="349" t="s">
        <v>172</v>
      </c>
      <c r="E58" s="386" t="s">
        <v>194</v>
      </c>
      <c r="F58" s="387"/>
      <c r="G58" s="151"/>
      <c r="H58" s="151">
        <f>+G18-H59-H60-H61-H62-H89-H88</f>
        <v>2407602.31</v>
      </c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348" t="s">
        <v>162</v>
      </c>
      <c r="D59" s="349" t="s">
        <v>173</v>
      </c>
      <c r="E59" s="346" t="s">
        <v>176</v>
      </c>
      <c r="F59" s="347"/>
      <c r="G59" s="151"/>
      <c r="H59" s="151">
        <f>+H82+H85+H83</f>
        <v>99461.69</v>
      </c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348" t="s">
        <v>166</v>
      </c>
      <c r="D60" s="349" t="s">
        <v>174</v>
      </c>
      <c r="E60" s="346" t="s">
        <v>192</v>
      </c>
      <c r="F60" s="347"/>
      <c r="G60" s="151"/>
      <c r="H60" s="151">
        <f>+H87</f>
        <v>410000</v>
      </c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 t="s">
        <v>168</v>
      </c>
      <c r="D61" s="158" t="s">
        <v>50</v>
      </c>
      <c r="E61" s="149" t="s">
        <v>190</v>
      </c>
      <c r="F61" s="150"/>
      <c r="G61" s="151"/>
      <c r="H61" s="151">
        <f>+H86</f>
        <v>855686</v>
      </c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6" t="s">
        <v>84</v>
      </c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7"/>
      <c r="D69" s="407"/>
      <c r="E69" s="407"/>
      <c r="F69" s="407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04" t="s">
        <v>85</v>
      </c>
      <c r="F71" s="404"/>
      <c r="G71" s="404"/>
      <c r="H71" s="404"/>
      <c r="I71" s="404"/>
      <c r="J71" s="404"/>
      <c r="K71" s="404"/>
      <c r="L71" s="404"/>
      <c r="M71" s="404"/>
      <c r="N71" s="180"/>
      <c r="O71" s="211"/>
    </row>
    <row r="72" spans="2:15" ht="13.5" customHeight="1">
      <c r="B72" s="210"/>
      <c r="C72" s="268" t="s">
        <v>25</v>
      </c>
      <c r="D72" s="269"/>
      <c r="E72" s="388" t="s">
        <v>86</v>
      </c>
      <c r="F72" s="388"/>
      <c r="G72" s="388"/>
      <c r="H72" s="388"/>
      <c r="I72" s="388"/>
      <c r="J72" s="388"/>
      <c r="K72" s="388"/>
      <c r="L72" s="388"/>
      <c r="M72" s="388"/>
      <c r="N72" s="181"/>
      <c r="O72" s="211"/>
    </row>
    <row r="73" spans="2:15" ht="14.25">
      <c r="B73" s="210"/>
      <c r="C73" s="268" t="s">
        <v>53</v>
      </c>
      <c r="D73" s="269"/>
      <c r="E73" s="388" t="s">
        <v>87</v>
      </c>
      <c r="F73" s="389"/>
      <c r="G73" s="389"/>
      <c r="H73" s="389"/>
      <c r="I73" s="389"/>
      <c r="J73" s="389"/>
      <c r="K73" s="389"/>
      <c r="L73" s="389"/>
      <c r="M73" s="389"/>
      <c r="N73" s="179"/>
      <c r="O73" s="211"/>
    </row>
    <row r="74" spans="2:15" ht="14.25">
      <c r="B74" s="210"/>
      <c r="C74" s="398" t="s">
        <v>55</v>
      </c>
      <c r="D74" s="398"/>
      <c r="E74" s="388" t="s">
        <v>88</v>
      </c>
      <c r="F74" s="389"/>
      <c r="G74" s="389"/>
      <c r="H74" s="389"/>
      <c r="I74" s="389"/>
      <c r="J74" s="389"/>
      <c r="K74" s="389"/>
      <c r="L74" s="389"/>
      <c r="M74" s="389"/>
      <c r="N74" s="179"/>
      <c r="O74" s="211"/>
    </row>
    <row r="75" spans="2:15" ht="14.25" customHeight="1">
      <c r="B75" s="210"/>
      <c r="C75" s="402" t="s">
        <v>56</v>
      </c>
      <c r="D75" s="402"/>
      <c r="E75" s="388" t="s">
        <v>89</v>
      </c>
      <c r="F75" s="388"/>
      <c r="G75" s="388"/>
      <c r="H75" s="388"/>
      <c r="I75" s="388"/>
      <c r="J75" s="388"/>
      <c r="K75" s="388"/>
      <c r="L75" s="388"/>
      <c r="M75" s="388"/>
      <c r="N75" s="181"/>
      <c r="O75" s="211"/>
    </row>
    <row r="76" spans="2:15" ht="14.25">
      <c r="B76" s="210"/>
      <c r="C76" s="398" t="s">
        <v>57</v>
      </c>
      <c r="D76" s="398"/>
      <c r="E76" s="388"/>
      <c r="F76" s="389"/>
      <c r="G76" s="389"/>
      <c r="H76" s="389"/>
      <c r="I76" s="389"/>
      <c r="J76" s="389"/>
      <c r="K76" s="389"/>
      <c r="L76" s="389"/>
      <c r="M76" s="389"/>
      <c r="N76" s="179"/>
      <c r="O76" s="211"/>
    </row>
    <row r="77" spans="2:15" ht="15" customHeight="1">
      <c r="B77" s="210"/>
      <c r="C77" s="403" t="s">
        <v>26</v>
      </c>
      <c r="D77" s="403"/>
      <c r="E77" s="388" t="s">
        <v>90</v>
      </c>
      <c r="F77" s="389"/>
      <c r="G77" s="389"/>
      <c r="H77" s="389"/>
      <c r="I77" s="389"/>
      <c r="J77" s="389"/>
      <c r="K77" s="389"/>
      <c r="L77" s="389"/>
      <c r="M77" s="38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160</v>
      </c>
      <c r="F80" s="121"/>
      <c r="G80" s="243" t="s">
        <v>11</v>
      </c>
      <c r="H80" s="119"/>
      <c r="I80" s="159" t="s">
        <v>172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71" t="s">
        <v>40</v>
      </c>
      <c r="D81" s="371"/>
      <c r="E81" s="370" t="s">
        <v>22</v>
      </c>
      <c r="F81" s="37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350" t="s">
        <v>177</v>
      </c>
      <c r="F82" s="154"/>
      <c r="G82" s="155"/>
      <c r="H82" s="351">
        <v>77234.55</v>
      </c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350" t="s">
        <v>178</v>
      </c>
      <c r="F83" s="154"/>
      <c r="G83" s="155"/>
      <c r="H83" s="351">
        <v>6992.14</v>
      </c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350"/>
      <c r="F84" s="154"/>
      <c r="G84" s="155"/>
      <c r="H84" s="351">
        <v>199135</v>
      </c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4" t="s">
        <v>55</v>
      </c>
      <c r="D85" s="375"/>
      <c r="E85" s="350" t="s">
        <v>198</v>
      </c>
      <c r="F85" s="154"/>
      <c r="G85" s="155"/>
      <c r="H85" s="351">
        <v>15235</v>
      </c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2" t="s">
        <v>56</v>
      </c>
      <c r="D86" s="373"/>
      <c r="E86" s="350" t="s">
        <v>188</v>
      </c>
      <c r="F86" s="154"/>
      <c r="G86" s="155"/>
      <c r="H86" s="351">
        <v>855686</v>
      </c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4" t="s">
        <v>57</v>
      </c>
      <c r="D87" s="375"/>
      <c r="E87" s="350" t="s">
        <v>179</v>
      </c>
      <c r="F87" s="154"/>
      <c r="G87" s="155"/>
      <c r="H87" s="351">
        <v>410000</v>
      </c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6" t="s">
        <v>26</v>
      </c>
      <c r="D88" s="377"/>
      <c r="E88" s="350" t="s">
        <v>195</v>
      </c>
      <c r="F88" s="154"/>
      <c r="G88" s="155"/>
      <c r="H88" s="351">
        <v>132500</v>
      </c>
      <c r="I88" s="152"/>
      <c r="J88" s="151"/>
      <c r="K88" s="151"/>
      <c r="L88" s="151"/>
      <c r="M88" s="151"/>
      <c r="N88" s="193"/>
      <c r="O88" s="211"/>
    </row>
    <row r="89" spans="2:15" ht="15" thickBot="1">
      <c r="B89" s="210"/>
      <c r="C89" s="376" t="s">
        <v>26</v>
      </c>
      <c r="D89" s="377"/>
      <c r="E89" s="350" t="s">
        <v>187</v>
      </c>
      <c r="F89" s="154"/>
      <c r="G89" s="155"/>
      <c r="H89" s="351">
        <f>+G18*4.75%</f>
        <v>194750</v>
      </c>
      <c r="I89" s="152"/>
      <c r="J89" s="351"/>
      <c r="K89" s="351"/>
      <c r="L89" s="351"/>
      <c r="M89" s="351"/>
      <c r="N89" s="193"/>
      <c r="O89" s="211"/>
    </row>
    <row r="90" spans="2:15" ht="14.25">
      <c r="B90" s="210"/>
      <c r="C90" s="334"/>
      <c r="D90" s="334"/>
      <c r="E90" s="119"/>
      <c r="F90" s="119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.75" thickBot="1">
      <c r="B91" s="210"/>
      <c r="C91" s="272" t="s">
        <v>45</v>
      </c>
      <c r="D91" s="259"/>
      <c r="E91" s="121"/>
      <c r="F91" s="121"/>
      <c r="G91" s="119"/>
      <c r="H91" s="119"/>
      <c r="I91" s="119"/>
      <c r="J91" s="121"/>
      <c r="K91" s="121"/>
      <c r="L91" s="121"/>
      <c r="M91" s="121"/>
      <c r="N91" s="121"/>
      <c r="O91" s="211"/>
    </row>
    <row r="92" spans="2:15" ht="15" thickBot="1">
      <c r="B92" s="210"/>
      <c r="C92" s="243" t="s">
        <v>18</v>
      </c>
      <c r="D92" s="259"/>
      <c r="E92" s="156" t="s">
        <v>160</v>
      </c>
      <c r="F92" s="121"/>
      <c r="G92" s="243" t="s">
        <v>11</v>
      </c>
      <c r="H92" s="119"/>
      <c r="I92" s="160" t="s">
        <v>172</v>
      </c>
      <c r="J92" s="121"/>
      <c r="K92" s="121"/>
      <c r="L92" s="121"/>
      <c r="M92" s="121"/>
      <c r="N92" s="121"/>
      <c r="O92" s="211"/>
    </row>
    <row r="93" spans="2:15" ht="43.5" thickBot="1">
      <c r="B93" s="210"/>
      <c r="C93" s="371" t="s">
        <v>40</v>
      </c>
      <c r="D93" s="371"/>
      <c r="E93" s="370" t="s">
        <v>22</v>
      </c>
      <c r="F93" s="370"/>
      <c r="G93" s="261">
        <f>$G$57</f>
        <v>2015</v>
      </c>
      <c r="H93" s="262">
        <f>G93+1</f>
        <v>2016</v>
      </c>
      <c r="I93" s="262">
        <f>H93+1</f>
        <v>2017</v>
      </c>
      <c r="J93" s="262">
        <f>I93+1</f>
        <v>2018</v>
      </c>
      <c r="K93" s="262">
        <f>J93+1</f>
        <v>2019</v>
      </c>
      <c r="L93" s="262">
        <f>K93+1</f>
        <v>2020</v>
      </c>
      <c r="M93" s="263" t="s">
        <v>41</v>
      </c>
      <c r="N93" s="263" t="str">
        <f>CONCATENATE("Sum of Expenditures Prior to ",G$19)</f>
        <v>Sum of Expenditures Prior to 2015</v>
      </c>
      <c r="O93" s="211"/>
    </row>
    <row r="94" spans="2:15" ht="15" thickBot="1">
      <c r="B94" s="210"/>
      <c r="C94" s="273" t="s">
        <v>21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25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273" t="s">
        <v>53</v>
      </c>
      <c r="D96" s="274"/>
      <c r="E96" s="153" t="s">
        <v>180</v>
      </c>
      <c r="F96" s="154"/>
      <c r="G96" s="155"/>
      <c r="H96" s="151">
        <f>13564.17*3</f>
        <v>40692.51</v>
      </c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4" t="s">
        <v>55</v>
      </c>
      <c r="D97" s="37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2" t="s">
        <v>56</v>
      </c>
      <c r="D98" s="37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4" t="s">
        <v>57</v>
      </c>
      <c r="D99" s="37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5" thickBot="1">
      <c r="B100" s="210"/>
      <c r="C100" s="376" t="s">
        <v>26</v>
      </c>
      <c r="D100" s="377"/>
      <c r="E100" s="153"/>
      <c r="F100" s="154"/>
      <c r="G100" s="155"/>
      <c r="H100" s="151"/>
      <c r="I100" s="152"/>
      <c r="J100" s="151"/>
      <c r="K100" s="151"/>
      <c r="L100" s="151"/>
      <c r="M100" s="151"/>
      <c r="N100" s="193"/>
      <c r="O100" s="211"/>
    </row>
    <row r="101" spans="2:15" ht="14.25">
      <c r="B101" s="210"/>
      <c r="C101" s="119"/>
      <c r="D101" s="119"/>
      <c r="E101" s="119"/>
      <c r="F101" s="119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.75" thickBot="1">
      <c r="B102" s="210"/>
      <c r="C102" s="272" t="s">
        <v>46</v>
      </c>
      <c r="D102" s="259"/>
      <c r="E102" s="121"/>
      <c r="F102" s="121"/>
      <c r="G102" s="119"/>
      <c r="H102" s="119"/>
      <c r="I102" s="119"/>
      <c r="J102" s="121"/>
      <c r="K102" s="121"/>
      <c r="L102" s="121"/>
      <c r="M102" s="121"/>
      <c r="N102" s="121"/>
      <c r="O102" s="211"/>
    </row>
    <row r="103" spans="2:15" ht="15" thickBot="1">
      <c r="B103" s="210"/>
      <c r="C103" s="243" t="s">
        <v>18</v>
      </c>
      <c r="D103" s="259"/>
      <c r="E103" s="156"/>
      <c r="F103" s="121"/>
      <c r="G103" s="243" t="s">
        <v>11</v>
      </c>
      <c r="H103" s="119"/>
      <c r="I103" s="160"/>
      <c r="J103" s="121"/>
      <c r="K103" s="121"/>
      <c r="L103" s="121"/>
      <c r="M103" s="121"/>
      <c r="N103" s="121"/>
      <c r="O103" s="211"/>
    </row>
    <row r="104" spans="2:15" ht="43.5" thickBot="1">
      <c r="B104" s="210"/>
      <c r="C104" s="371" t="s">
        <v>40</v>
      </c>
      <c r="D104" s="371"/>
      <c r="E104" s="370" t="s">
        <v>22</v>
      </c>
      <c r="F104" s="370"/>
      <c r="G104" s="261">
        <f>$G$57</f>
        <v>2015</v>
      </c>
      <c r="H104" s="262">
        <f>G104+1</f>
        <v>2016</v>
      </c>
      <c r="I104" s="262">
        <f>H104+1</f>
        <v>2017</v>
      </c>
      <c r="J104" s="262">
        <f>I104+1</f>
        <v>2018</v>
      </c>
      <c r="K104" s="262"/>
      <c r="L104" s="262"/>
      <c r="M104" s="263" t="s">
        <v>41</v>
      </c>
      <c r="N104" s="263" t="str">
        <f>CONCATENATE("Sum of Expenditures Prior to ",G$19)</f>
        <v>Sum of Expenditures Prior to 2015</v>
      </c>
      <c r="O104" s="211"/>
    </row>
    <row r="105" spans="2:15" ht="15" thickBot="1">
      <c r="B105" s="210"/>
      <c r="C105" s="273" t="s">
        <v>21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25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273" t="s">
        <v>53</v>
      </c>
      <c r="D107" s="27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74" t="s">
        <v>55</v>
      </c>
      <c r="D108" s="37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72" t="s">
        <v>56</v>
      </c>
      <c r="D109" s="373"/>
      <c r="E109" s="335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74" t="s">
        <v>57</v>
      </c>
      <c r="D110" s="37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5" thickBot="1">
      <c r="B111" s="210"/>
      <c r="C111" s="376" t="s">
        <v>26</v>
      </c>
      <c r="D111" s="377"/>
      <c r="E111" s="153"/>
      <c r="F111" s="154"/>
      <c r="G111" s="155"/>
      <c r="H111" s="151"/>
      <c r="I111" s="152"/>
      <c r="J111" s="151"/>
      <c r="K111" s="151"/>
      <c r="L111" s="151"/>
      <c r="M111" s="151"/>
      <c r="N111" s="193"/>
      <c r="O111" s="211"/>
    </row>
    <row r="112" spans="2:15" ht="14.25">
      <c r="B112" s="210"/>
      <c r="C112" s="119"/>
      <c r="D112" s="119"/>
      <c r="E112" s="119"/>
      <c r="F112" s="119"/>
      <c r="G112" s="119"/>
      <c r="H112" s="119"/>
      <c r="I112" s="119"/>
      <c r="J112" s="121"/>
      <c r="K112" s="121"/>
      <c r="L112" s="121"/>
      <c r="M112" s="121"/>
      <c r="N112" s="121"/>
      <c r="O112" s="211"/>
    </row>
    <row r="113" spans="2:15" ht="13.5" hidden="1" thickBot="1">
      <c r="B113" s="210"/>
      <c r="C113" s="275" t="s">
        <v>47</v>
      </c>
      <c r="D113" s="235"/>
      <c r="E113" s="116"/>
      <c r="F113" s="116"/>
      <c r="G113" s="125"/>
      <c r="H113" s="125"/>
      <c r="I113" s="125"/>
      <c r="J113" s="116"/>
      <c r="K113" s="116"/>
      <c r="L113" s="116"/>
      <c r="M113" s="116"/>
      <c r="N113" s="116"/>
      <c r="O113" s="211"/>
    </row>
    <row r="114" spans="2:15" ht="15" hidden="1" thickBot="1">
      <c r="B114" s="210"/>
      <c r="C114" s="276" t="s">
        <v>18</v>
      </c>
      <c r="D114" s="235"/>
      <c r="E114" s="172"/>
      <c r="F114" s="116"/>
      <c r="G114" s="243" t="s">
        <v>11</v>
      </c>
      <c r="H114" s="125"/>
      <c r="I114" s="173" t="s">
        <v>50</v>
      </c>
      <c r="J114" s="116"/>
      <c r="K114" s="116"/>
      <c r="L114" s="116"/>
      <c r="M114" s="116"/>
      <c r="N114" s="116"/>
      <c r="O114" s="211"/>
    </row>
    <row r="115" spans="2:15" ht="43.5" hidden="1" thickBot="1">
      <c r="B115" s="210"/>
      <c r="C115" s="371" t="s">
        <v>40</v>
      </c>
      <c r="D115" s="371"/>
      <c r="E115" s="370" t="s">
        <v>22</v>
      </c>
      <c r="F115" s="370"/>
      <c r="G115" s="280">
        <f>$G$57</f>
        <v>2015</v>
      </c>
      <c r="H115" s="281">
        <f>G115+1</f>
        <v>2016</v>
      </c>
      <c r="I115" s="281">
        <f>H115+1</f>
        <v>2017</v>
      </c>
      <c r="J115" s="281">
        <f>I115+1</f>
        <v>2018</v>
      </c>
      <c r="K115" s="281"/>
      <c r="L115" s="281"/>
      <c r="M115" s="282" t="s">
        <v>41</v>
      </c>
      <c r="N115" s="263" t="str">
        <f>CONCATENATE("Sum of Expenditures Prior to ",G$19)</f>
        <v>Sum of Expenditures Prior to 2015</v>
      </c>
      <c r="O115" s="211"/>
    </row>
    <row r="116" spans="2:15" ht="15" hidden="1" thickBot="1">
      <c r="B116" s="210"/>
      <c r="C116" s="277" t="s">
        <v>21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25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277" t="s">
        <v>53</v>
      </c>
      <c r="D118" s="27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80" t="s">
        <v>55</v>
      </c>
      <c r="D119" s="38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78" t="s">
        <v>56</v>
      </c>
      <c r="D120" s="379"/>
      <c r="E120" s="335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80" t="s">
        <v>57</v>
      </c>
      <c r="D121" s="38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5" hidden="1" thickBot="1">
      <c r="B122" s="210"/>
      <c r="C122" s="382" t="s">
        <v>26</v>
      </c>
      <c r="D122" s="383"/>
      <c r="E122" s="354"/>
      <c r="F122" s="171"/>
      <c r="G122" s="155"/>
      <c r="H122" s="151"/>
      <c r="I122" s="152"/>
      <c r="J122" s="151"/>
      <c r="K122" s="151"/>
      <c r="L122" s="151"/>
      <c r="M122" s="151"/>
      <c r="N122" s="193"/>
      <c r="O122" s="211"/>
    </row>
    <row r="123" spans="2:15" ht="13.5" hidden="1">
      <c r="B123" s="210"/>
      <c r="C123" s="279"/>
      <c r="D123" s="279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3.5" hidden="1" thickBot="1">
      <c r="B124" s="210"/>
      <c r="C124" s="275" t="s">
        <v>58</v>
      </c>
      <c r="D124" s="235"/>
      <c r="E124" s="116"/>
      <c r="F124" s="116"/>
      <c r="G124" s="125"/>
      <c r="H124" s="125"/>
      <c r="I124" s="125"/>
      <c r="J124" s="116"/>
      <c r="K124" s="116"/>
      <c r="L124" s="116"/>
      <c r="M124" s="116"/>
      <c r="N124" s="116"/>
      <c r="O124" s="211"/>
    </row>
    <row r="125" spans="2:15" ht="15" hidden="1" thickBot="1">
      <c r="B125" s="210"/>
      <c r="C125" s="276" t="s">
        <v>18</v>
      </c>
      <c r="D125" s="235"/>
      <c r="E125" s="172"/>
      <c r="F125" s="116"/>
      <c r="G125" s="243" t="s">
        <v>11</v>
      </c>
      <c r="H125" s="125"/>
      <c r="I125" s="173" t="s">
        <v>50</v>
      </c>
      <c r="J125" s="116"/>
      <c r="K125" s="116"/>
      <c r="L125" s="116"/>
      <c r="M125" s="116"/>
      <c r="N125" s="116"/>
      <c r="O125" s="211"/>
    </row>
    <row r="126" spans="2:15" ht="43.5" hidden="1" thickBot="1">
      <c r="B126" s="210"/>
      <c r="C126" s="371" t="s">
        <v>40</v>
      </c>
      <c r="D126" s="371"/>
      <c r="E126" s="370" t="s">
        <v>22</v>
      </c>
      <c r="F126" s="370"/>
      <c r="G126" s="280">
        <f>$G$57</f>
        <v>2015</v>
      </c>
      <c r="H126" s="281">
        <f>G126+1</f>
        <v>2016</v>
      </c>
      <c r="I126" s="281">
        <f>H126+1</f>
        <v>2017</v>
      </c>
      <c r="J126" s="281">
        <f>I126+1</f>
        <v>2018</v>
      </c>
      <c r="K126" s="281"/>
      <c r="L126" s="281"/>
      <c r="M126" s="282" t="s">
        <v>41</v>
      </c>
      <c r="N126" s="263" t="str">
        <f>CONCATENATE("Sum of Expenditures Prior to ",G$19)</f>
        <v>Sum of Expenditures Prior to 2015</v>
      </c>
      <c r="O126" s="211"/>
    </row>
    <row r="127" spans="2:15" ht="15" hidden="1" thickBot="1">
      <c r="B127" s="210"/>
      <c r="C127" s="277" t="s">
        <v>21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25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277" t="s">
        <v>53</v>
      </c>
      <c r="D129" s="27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80" t="s">
        <v>55</v>
      </c>
      <c r="D130" s="38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78" t="s">
        <v>56</v>
      </c>
      <c r="D131" s="37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80" t="s">
        <v>57</v>
      </c>
      <c r="D132" s="38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5" hidden="1" thickBot="1">
      <c r="B133" s="210"/>
      <c r="C133" s="382" t="s">
        <v>26</v>
      </c>
      <c r="D133" s="383"/>
      <c r="E133" s="170"/>
      <c r="F133" s="171"/>
      <c r="G133" s="155"/>
      <c r="H133" s="151"/>
      <c r="I133" s="152"/>
      <c r="J133" s="151"/>
      <c r="K133" s="151"/>
      <c r="L133" s="151"/>
      <c r="M133" s="151"/>
      <c r="N133" s="193"/>
      <c r="O133" s="211"/>
    </row>
    <row r="134" spans="2:15" ht="13.5" hidden="1">
      <c r="B134" s="210"/>
      <c r="C134" s="279"/>
      <c r="D134" s="279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3.5" hidden="1" thickBot="1">
      <c r="B135" s="210"/>
      <c r="C135" s="275" t="s">
        <v>59</v>
      </c>
      <c r="D135" s="235"/>
      <c r="E135" s="116"/>
      <c r="F135" s="116"/>
      <c r="G135" s="125"/>
      <c r="H135" s="125"/>
      <c r="I135" s="125"/>
      <c r="J135" s="116"/>
      <c r="K135" s="116"/>
      <c r="L135" s="116"/>
      <c r="M135" s="116"/>
      <c r="N135" s="116"/>
      <c r="O135" s="211"/>
    </row>
    <row r="136" spans="2:15" ht="15" hidden="1" thickBot="1">
      <c r="B136" s="210"/>
      <c r="C136" s="276" t="s">
        <v>18</v>
      </c>
      <c r="D136" s="235"/>
      <c r="E136" s="172"/>
      <c r="F136" s="116"/>
      <c r="G136" s="243" t="s">
        <v>11</v>
      </c>
      <c r="H136" s="125"/>
      <c r="I136" s="173" t="s">
        <v>50</v>
      </c>
      <c r="J136" s="116"/>
      <c r="K136" s="116"/>
      <c r="L136" s="116"/>
      <c r="M136" s="116"/>
      <c r="N136" s="116"/>
      <c r="O136" s="211"/>
    </row>
    <row r="137" spans="2:15" ht="43.5" hidden="1" thickBot="1">
      <c r="B137" s="210"/>
      <c r="C137" s="371" t="s">
        <v>40</v>
      </c>
      <c r="D137" s="371"/>
      <c r="E137" s="370" t="s">
        <v>22</v>
      </c>
      <c r="F137" s="370"/>
      <c r="G137" s="280">
        <f>$G$57</f>
        <v>2015</v>
      </c>
      <c r="H137" s="281">
        <f>G137+1</f>
        <v>2016</v>
      </c>
      <c r="I137" s="281">
        <f>H137+1</f>
        <v>2017</v>
      </c>
      <c r="J137" s="281">
        <f>I137+1</f>
        <v>2018</v>
      </c>
      <c r="K137" s="281"/>
      <c r="L137" s="281"/>
      <c r="M137" s="282" t="s">
        <v>41</v>
      </c>
      <c r="N137" s="263" t="str">
        <f>CONCATENATE("Sum of Expenditures Prior to ",G$19)</f>
        <v>Sum of Expenditures Prior to 2015</v>
      </c>
      <c r="O137" s="211"/>
    </row>
    <row r="138" spans="2:15" ht="15" hidden="1" thickBot="1">
      <c r="B138" s="210"/>
      <c r="C138" s="277" t="s">
        <v>21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25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277" t="s">
        <v>53</v>
      </c>
      <c r="D140" s="27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80" t="s">
        <v>55</v>
      </c>
      <c r="D141" s="38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78" t="s">
        <v>56</v>
      </c>
      <c r="D142" s="37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80" t="s">
        <v>57</v>
      </c>
      <c r="D143" s="38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hidden="1" thickBot="1">
      <c r="B144" s="210"/>
      <c r="C144" s="382" t="s">
        <v>26</v>
      </c>
      <c r="D144" s="383"/>
      <c r="E144" s="170"/>
      <c r="F144" s="171"/>
      <c r="G144" s="155"/>
      <c r="H144" s="151"/>
      <c r="I144" s="152"/>
      <c r="J144" s="151"/>
      <c r="K144" s="151"/>
      <c r="L144" s="151"/>
      <c r="M144" s="151"/>
      <c r="N144" s="193"/>
      <c r="O144" s="211"/>
    </row>
    <row r="145" spans="2:15" ht="14.25" thickBot="1">
      <c r="B145" s="217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218"/>
    </row>
    <row r="146" spans="3:9" ht="12.75" customHeight="1" thickBot="1" thickTop="1">
      <c r="C146" s="108"/>
      <c r="D146" s="108"/>
      <c r="E146" s="108"/>
      <c r="F146" s="108"/>
      <c r="G146" s="108"/>
      <c r="H146" s="108"/>
      <c r="I146" s="108"/>
    </row>
    <row r="147" spans="2:15" ht="18.75" thickTop="1">
      <c r="B147" s="208"/>
      <c r="C147" s="126" t="s">
        <v>96</v>
      </c>
      <c r="D147" s="127"/>
      <c r="E147" s="127"/>
      <c r="F147" s="127"/>
      <c r="G147" s="127"/>
      <c r="H147" s="127"/>
      <c r="I147" s="127"/>
      <c r="J147" s="115"/>
      <c r="K147" s="115"/>
      <c r="L147" s="115"/>
      <c r="M147" s="115"/>
      <c r="N147" s="115"/>
      <c r="O147" s="209"/>
    </row>
    <row r="148" spans="2:15" ht="11.25" customHeight="1">
      <c r="B148" s="210"/>
      <c r="C148" s="129"/>
      <c r="D148" s="125"/>
      <c r="E148" s="125"/>
      <c r="F148" s="125"/>
      <c r="G148" s="125"/>
      <c r="H148" s="125"/>
      <c r="I148" s="125"/>
      <c r="J148" s="116"/>
      <c r="K148" s="116"/>
      <c r="L148" s="116"/>
      <c r="M148" s="116"/>
      <c r="N148" s="116"/>
      <c r="O148" s="211"/>
    </row>
    <row r="149" spans="2:17" ht="48" customHeight="1">
      <c r="B149" s="210"/>
      <c r="C149" s="389" t="s">
        <v>100</v>
      </c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179"/>
      <c r="O149" s="224"/>
      <c r="P149" s="225"/>
      <c r="Q149" s="225"/>
    </row>
    <row r="150" spans="2:17" ht="15" customHeight="1">
      <c r="B150" s="210"/>
      <c r="C150" s="389" t="s">
        <v>132</v>
      </c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179"/>
      <c r="O150" s="224"/>
      <c r="P150" s="225"/>
      <c r="Q150" s="225"/>
    </row>
    <row r="151" spans="2:15" ht="15" thickBot="1">
      <c r="B151" s="210"/>
      <c r="C151" s="119"/>
      <c r="D151" s="119"/>
      <c r="E151" s="119"/>
      <c r="F151" s="119"/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105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5" thickBot="1">
      <c r="B153" s="210"/>
      <c r="C153" s="243" t="s">
        <v>124</v>
      </c>
      <c r="D153" s="119"/>
      <c r="E153" s="119"/>
      <c r="F153" s="161" t="s">
        <v>44</v>
      </c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121"/>
      <c r="K154" s="121"/>
      <c r="L154" s="121"/>
      <c r="M154" s="121"/>
      <c r="N154" s="121"/>
      <c r="O154" s="211"/>
    </row>
    <row r="155" spans="2:15" ht="14.25" customHeight="1">
      <c r="B155" s="210"/>
      <c r="C155" s="119"/>
      <c r="D155" s="119"/>
      <c r="E155" s="119"/>
      <c r="F155" s="119"/>
      <c r="G155" s="119"/>
      <c r="H155" s="119"/>
      <c r="I155" s="119"/>
      <c r="J155" s="288" t="s">
        <v>131</v>
      </c>
      <c r="K155" s="288"/>
      <c r="L155" s="288"/>
      <c r="M155" s="121"/>
      <c r="N155" s="121"/>
      <c r="O155" s="211"/>
    </row>
    <row r="156" spans="2:15" ht="14.25">
      <c r="B156" s="210"/>
      <c r="C156" s="401" t="s">
        <v>18</v>
      </c>
      <c r="D156" s="401" t="s">
        <v>39</v>
      </c>
      <c r="E156" s="411" t="s">
        <v>23</v>
      </c>
      <c r="F156" s="411"/>
      <c r="G156" s="283">
        <f>G81</f>
        <v>2015</v>
      </c>
      <c r="H156" s="284">
        <f>IF(OR(G19=2013,G19=2015,G19=2017,G19=2019),G19+1,"NA")</f>
        <v>2016</v>
      </c>
      <c r="I156" s="284"/>
      <c r="J156" s="288" t="s">
        <v>129</v>
      </c>
      <c r="K156" s="288"/>
      <c r="L156" s="288"/>
      <c r="M156" s="121"/>
      <c r="N156" s="121"/>
      <c r="O156" s="211"/>
    </row>
    <row r="157" spans="2:15" ht="29.25" thickBot="1">
      <c r="B157" s="210"/>
      <c r="C157" s="370"/>
      <c r="D157" s="370"/>
      <c r="E157" s="412"/>
      <c r="F157" s="412"/>
      <c r="G157" s="285" t="s">
        <v>24</v>
      </c>
      <c r="H157" s="285" t="str">
        <f>IF(H156="NA"," ","Allocation Change")</f>
        <v>Allocation Change</v>
      </c>
      <c r="I157" s="285"/>
      <c r="J157" s="289" t="s">
        <v>130</v>
      </c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/>
      <c r="E158" s="162"/>
      <c r="F158" s="154"/>
      <c r="G158" s="163"/>
      <c r="H158" s="35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5" thickBot="1">
      <c r="B163" s="210"/>
      <c r="C163" s="156"/>
      <c r="D163" s="160" t="s">
        <v>50</v>
      </c>
      <c r="E163" s="162"/>
      <c r="F163" s="154"/>
      <c r="G163" s="163"/>
      <c r="H163" s="163"/>
      <c r="I163" s="326"/>
      <c r="J163" s="163"/>
      <c r="K163" s="289"/>
      <c r="L163" s="289"/>
      <c r="M163" s="121"/>
      <c r="N163" s="121"/>
      <c r="O163" s="211"/>
    </row>
    <row r="164" spans="2:15" ht="13.5" thickBot="1">
      <c r="B164" s="217"/>
      <c r="C164" s="123"/>
      <c r="D164" s="123"/>
      <c r="E164" s="123"/>
      <c r="F164" s="123"/>
      <c r="G164" s="123"/>
      <c r="H164" s="123"/>
      <c r="I164" s="123"/>
      <c r="J164" s="124"/>
      <c r="K164" s="124"/>
      <c r="L164" s="124"/>
      <c r="M164" s="124"/>
      <c r="N164" s="124"/>
      <c r="O164" s="218"/>
    </row>
    <row r="165" spans="3:9" ht="19.5" thickBot="1" thickTop="1">
      <c r="C165" s="109"/>
      <c r="D165" s="108"/>
      <c r="E165" s="108"/>
      <c r="F165" s="108"/>
      <c r="G165" s="108"/>
      <c r="H165" s="108"/>
      <c r="I165" s="108"/>
    </row>
    <row r="166" spans="2:15" ht="19.5" thickBot="1" thickTop="1">
      <c r="B166" s="208"/>
      <c r="C166" s="126" t="s">
        <v>101</v>
      </c>
      <c r="D166" s="127"/>
      <c r="E166" s="127"/>
      <c r="F166" s="127"/>
      <c r="G166" s="127"/>
      <c r="H166" s="127"/>
      <c r="I166" s="127"/>
      <c r="J166" s="115"/>
      <c r="K166" s="115"/>
      <c r="L166" s="115"/>
      <c r="M166" s="115"/>
      <c r="N166" s="115"/>
      <c r="O166" s="209"/>
    </row>
    <row r="167" spans="2:15" ht="15" customHeight="1" thickBot="1">
      <c r="B167" s="210"/>
      <c r="C167" s="243" t="s">
        <v>120</v>
      </c>
      <c r="D167" s="125"/>
      <c r="E167" s="125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121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108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107</v>
      </c>
      <c r="D170" s="119"/>
      <c r="E170" s="119"/>
      <c r="F170" s="161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109</v>
      </c>
      <c r="D171" s="119"/>
      <c r="E171" s="119"/>
      <c r="F171" s="194" t="s">
        <v>44</v>
      </c>
      <c r="G171" s="125"/>
      <c r="H171" s="125"/>
      <c r="I171" s="125"/>
      <c r="J171" s="116"/>
      <c r="K171" s="116"/>
      <c r="L171" s="116"/>
      <c r="M171" s="116"/>
      <c r="N171" s="116"/>
      <c r="O171" s="211"/>
    </row>
    <row r="172" spans="2:15" ht="15" customHeight="1" thickBot="1">
      <c r="B172" s="210"/>
      <c r="C172" s="243" t="s">
        <v>106</v>
      </c>
      <c r="D172" s="125"/>
      <c r="E172" s="125"/>
      <c r="F172" s="414" t="s">
        <v>181</v>
      </c>
      <c r="G172" s="415"/>
      <c r="H172" s="415"/>
      <c r="I172" s="415"/>
      <c r="J172" s="415"/>
      <c r="K172" s="415"/>
      <c r="L172" s="415"/>
      <c r="M172" s="415"/>
      <c r="N172" s="416"/>
      <c r="O172" s="211"/>
    </row>
    <row r="173" spans="2:15" ht="15" customHeight="1">
      <c r="B173" s="210"/>
      <c r="C173" s="129"/>
      <c r="D173" s="125"/>
      <c r="E173" s="125"/>
      <c r="F173" s="125"/>
      <c r="G173" s="125"/>
      <c r="H173" s="125"/>
      <c r="I173" s="125"/>
      <c r="J173" s="116"/>
      <c r="K173" s="116"/>
      <c r="L173" s="116"/>
      <c r="M173" s="116"/>
      <c r="N173" s="116"/>
      <c r="O173" s="211"/>
    </row>
    <row r="174" spans="2:15" ht="135.75" customHeight="1" thickBot="1">
      <c r="B174" s="210"/>
      <c r="C174" s="389" t="s">
        <v>151</v>
      </c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179"/>
      <c r="O174" s="224"/>
    </row>
    <row r="175" spans="2:15" ht="34.5" customHeight="1" thickBot="1">
      <c r="B175" s="210"/>
      <c r="C175" s="496" t="s">
        <v>189</v>
      </c>
      <c r="D175" s="497"/>
      <c r="E175" s="497"/>
      <c r="F175" s="497"/>
      <c r="G175" s="497"/>
      <c r="H175" s="497"/>
      <c r="I175" s="497"/>
      <c r="J175" s="497"/>
      <c r="K175" s="497"/>
      <c r="L175" s="497"/>
      <c r="M175" s="497"/>
      <c r="N175" s="498"/>
      <c r="O175" s="224"/>
    </row>
    <row r="176" spans="2:15" ht="34.5" customHeight="1" thickBot="1">
      <c r="B176" s="210"/>
      <c r="C176" s="499" t="s">
        <v>191</v>
      </c>
      <c r="D176" s="500"/>
      <c r="E176" s="500"/>
      <c r="F176" s="500"/>
      <c r="G176" s="500"/>
      <c r="H176" s="500"/>
      <c r="I176" s="500"/>
      <c r="J176" s="500"/>
      <c r="K176" s="500"/>
      <c r="L176" s="500"/>
      <c r="M176" s="500"/>
      <c r="N176" s="501"/>
      <c r="O176" s="224"/>
    </row>
    <row r="177" spans="2:15" ht="34.5" customHeight="1" thickBot="1">
      <c r="B177" s="210"/>
      <c r="C177" s="499" t="s">
        <v>183</v>
      </c>
      <c r="D177" s="500"/>
      <c r="E177" s="500"/>
      <c r="F177" s="500"/>
      <c r="G177" s="500"/>
      <c r="H177" s="500"/>
      <c r="I177" s="500"/>
      <c r="J177" s="500"/>
      <c r="K177" s="500"/>
      <c r="L177" s="500"/>
      <c r="M177" s="500"/>
      <c r="N177" s="501"/>
      <c r="O177" s="224"/>
    </row>
    <row r="178" spans="2:15" ht="34.5" customHeight="1" thickBot="1">
      <c r="B178" s="210"/>
      <c r="C178" s="499" t="s">
        <v>193</v>
      </c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N178" s="501"/>
      <c r="O178" s="224"/>
    </row>
    <row r="179" spans="2:15" ht="34.5" customHeight="1" thickBot="1">
      <c r="B179" s="210"/>
      <c r="C179" s="499" t="s">
        <v>182</v>
      </c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N179" s="501"/>
      <c r="O179" s="224"/>
    </row>
    <row r="180" spans="2:15" ht="19.5" customHeight="1">
      <c r="B180" s="210"/>
      <c r="C180" s="129"/>
      <c r="D180" s="125"/>
      <c r="E180" s="125"/>
      <c r="F180" s="125"/>
      <c r="G180" s="125"/>
      <c r="H180" s="125"/>
      <c r="I180" s="125"/>
      <c r="J180" s="116"/>
      <c r="K180" s="116"/>
      <c r="L180" s="116"/>
      <c r="M180" s="116"/>
      <c r="N180" s="116"/>
      <c r="O180" s="211"/>
    </row>
    <row r="181" spans="2:15" ht="18.75" customHeight="1">
      <c r="B181" s="210"/>
      <c r="C181" s="389" t="s">
        <v>138</v>
      </c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116"/>
      <c r="O181" s="211"/>
    </row>
    <row r="182" spans="2:15" ht="15" thickBot="1">
      <c r="B182" s="217"/>
      <c r="C182" s="134"/>
      <c r="D182" s="134"/>
      <c r="E182" s="134"/>
      <c r="F182" s="134"/>
      <c r="G182" s="134"/>
      <c r="H182" s="134"/>
      <c r="I182" s="134"/>
      <c r="J182" s="135"/>
      <c r="K182" s="135"/>
      <c r="L182" s="135"/>
      <c r="M182" s="135"/>
      <c r="N182" s="135"/>
      <c r="O182" s="218"/>
    </row>
    <row r="183" spans="3:9" ht="13.5" thickTop="1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9" ht="12.75">
      <c r="C196" s="108"/>
      <c r="D196" s="108"/>
      <c r="E196" s="108"/>
      <c r="F196" s="108"/>
      <c r="G196" s="108"/>
      <c r="H196" s="108"/>
      <c r="I196" s="108"/>
    </row>
    <row r="197" spans="3:17" ht="12.75">
      <c r="C197" s="227" t="s">
        <v>122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8" t="str">
        <f>IF(F168="N","The transaction is not backed by new revenue. ","The transaction is backed by new revenue. ")</f>
        <v xml:space="preserve">The transaction is not backed by new revenue.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IF(F168="N","",IF(F169="N","The new revenue does not include grant revenue. ","The new revenue includes grant revenue. "))</f>
        <v/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7" t="str">
        <f>IF(F168="N"," ",IF(F169="N"," ",IF(F170="N","The grant has not been awarded. ","The grant has been awarded. ")))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8" t="str">
        <f>IF(F168="N"," ",IF(F171="N","The new revenue has not been received. ","The new revenue has been received.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tr">
        <f>IF(F168="N"," ",IF(F171="N",F172," "))</f>
        <v xml:space="preserve"> 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2.75">
      <c r="C203" s="227" t="s">
        <v>110</v>
      </c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1.25" customHeight="1">
      <c r="C204" s="413"/>
      <c r="D204" s="413"/>
      <c r="E204" s="413"/>
      <c r="F204" s="413"/>
      <c r="G204" s="413"/>
      <c r="H204" s="413"/>
      <c r="I204" s="413"/>
      <c r="J204" s="413"/>
      <c r="K204" s="413"/>
      <c r="L204" s="413"/>
      <c r="M204" s="413"/>
      <c r="N204" s="413"/>
      <c r="O204" s="413"/>
      <c r="P204" s="413"/>
      <c r="Q204" s="413"/>
    </row>
    <row r="205" spans="3:17" ht="12.75">
      <c r="C205" s="228"/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 t="str">
        <f>G29</f>
        <v>1114654</v>
      </c>
      <c r="D206" s="227" t="s">
        <v>43</v>
      </c>
      <c r="E206" s="228" t="str">
        <f>IF(D52="Y",CONCATENATE(F52," in fund balance is being used to cover indicated expenditures.  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 t="str">
        <f>H29</f>
        <v>1046360</v>
      </c>
      <c r="D207" s="227" t="s">
        <v>44</v>
      </c>
      <c r="E207" s="228" t="str">
        <f>IF(D54="Y",CONCATENATE(F54," in reallocated grant funding is being used to cover indicated expenditures."),"")</f>
        <v/>
      </c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 t="str">
        <f>I29</f>
        <v>1047323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I30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G30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>
        <f>H30</f>
        <v>0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I31</f>
        <v>NA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 t="str">
        <f>J31</f>
        <v xml:space="preserve"> </v>
      </c>
      <c r="D213" s="228"/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1"/>
      <c r="D214" s="227" t="s">
        <v>43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 ht="12.75">
      <c r="C215" s="230"/>
      <c r="D215" s="227" t="s">
        <v>48</v>
      </c>
      <c r="E215" s="228"/>
      <c r="F215" s="228"/>
      <c r="G215" s="228"/>
      <c r="H215" s="228"/>
      <c r="I215" s="228"/>
      <c r="J215" s="229"/>
      <c r="K215" s="229"/>
      <c r="L215" s="229"/>
      <c r="M215" s="229"/>
      <c r="N215" s="229"/>
      <c r="O215" s="229"/>
      <c r="P215" s="229"/>
      <c r="Q215" s="229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226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  <row r="344" spans="3:9" ht="12.75">
      <c r="C344" s="108"/>
      <c r="D344" s="108"/>
      <c r="E344" s="108"/>
      <c r="F344" s="108"/>
      <c r="G344" s="108"/>
      <c r="H344" s="108"/>
      <c r="I344" s="108"/>
    </row>
  </sheetData>
  <mergeCells count="83">
    <mergeCell ref="C175:N175"/>
    <mergeCell ref="C176:N176"/>
    <mergeCell ref="C177:N177"/>
    <mergeCell ref="D39:F39"/>
    <mergeCell ref="C204:Q204"/>
    <mergeCell ref="C181:M181"/>
    <mergeCell ref="C149:M149"/>
    <mergeCell ref="C156:C157"/>
    <mergeCell ref="D156:D157"/>
    <mergeCell ref="E156:F157"/>
    <mergeCell ref="F172:N172"/>
    <mergeCell ref="C174:M174"/>
    <mergeCell ref="C178:N178"/>
    <mergeCell ref="C179:N179"/>
    <mergeCell ref="C150:M150"/>
    <mergeCell ref="C144:D144"/>
    <mergeCell ref="C141:D141"/>
    <mergeCell ref="C142:D142"/>
    <mergeCell ref="C126:D126"/>
    <mergeCell ref="E126:F126"/>
    <mergeCell ref="C130:D130"/>
    <mergeCell ref="C131:D131"/>
    <mergeCell ref="C132:D132"/>
    <mergeCell ref="C143:D143"/>
    <mergeCell ref="C122:D122"/>
    <mergeCell ref="C104:D104"/>
    <mergeCell ref="E104:F104"/>
    <mergeCell ref="C108:D108"/>
    <mergeCell ref="C109:D109"/>
    <mergeCell ref="C110:D110"/>
    <mergeCell ref="C111:D111"/>
    <mergeCell ref="C115:D115"/>
    <mergeCell ref="E115:F115"/>
    <mergeCell ref="C119:D119"/>
    <mergeCell ref="C120:D120"/>
    <mergeCell ref="C121:D121"/>
    <mergeCell ref="C133:D133"/>
    <mergeCell ref="C137:D137"/>
    <mergeCell ref="E137:F137"/>
    <mergeCell ref="C100:D100"/>
    <mergeCell ref="C81:D81"/>
    <mergeCell ref="E81:F81"/>
    <mergeCell ref="C85:D85"/>
    <mergeCell ref="C86:D86"/>
    <mergeCell ref="C87:D87"/>
    <mergeCell ref="C88:D88"/>
    <mergeCell ref="C93:D93"/>
    <mergeCell ref="E93:F93"/>
    <mergeCell ref="C97:D97"/>
    <mergeCell ref="C98:D98"/>
    <mergeCell ref="C99:D99"/>
    <mergeCell ref="C89:D89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C68:M68"/>
    <mergeCell ref="C69:F69"/>
    <mergeCell ref="E71:M71"/>
    <mergeCell ref="E72:M72"/>
    <mergeCell ref="E73:M73"/>
    <mergeCell ref="E58:F58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8:C163 E125 E103 C58:C63 E80 E92 E114 E136">
      <formula1>$G$21:$G$27</formula1>
    </dataValidation>
    <dataValidation type="list" allowBlank="1" showInputMessage="1" showErrorMessage="1" sqref="D158:D163 I136 I114 D58:D63 I80 I92 I103 I125">
      <formula1>$C$206:$C$221</formula1>
    </dataValidation>
    <dataValidation type="list" allowBlank="1" showInputMessage="1" showErrorMessage="1" sqref="D54 G39 F167:F171 F152:F153 D52">
      <formula1>$D$206:$D$207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showGridLines="0" tabSelected="1" view="pageBreakPreview" zoomScale="60" workbookViewId="0" topLeftCell="A1">
      <selection activeCell="L31" sqref="L3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7.28125" style="0" hidden="1" customWidth="1"/>
    <col min="12" max="12" width="17.14062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51" t="s">
        <v>49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53" t="s">
        <v>31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1"/>
    </row>
    <row r="4" spans="1:20" ht="3" customHeight="1" thickBot="1" thickTop="1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1"/>
    </row>
    <row r="5" spans="1:19" ht="13.5">
      <c r="A5" s="448" t="s">
        <v>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20" ht="13.5">
      <c r="A6" s="444" t="s">
        <v>0</v>
      </c>
      <c r="B6" s="445"/>
      <c r="C6" s="443" t="str">
        <f>IF('2b.  Complex Form Data Entry'!G11="","   ",'2b.  Complex Form Data Entry'!G11)</f>
        <v xml:space="preserve">Sale of Northshore Public Health Center  </v>
      </c>
      <c r="D6" s="443"/>
      <c r="E6" s="443"/>
      <c r="F6" s="443"/>
      <c r="G6" s="443"/>
      <c r="H6" s="443"/>
      <c r="I6" s="443"/>
      <c r="J6" s="443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>NA</v>
      </c>
      <c r="S6" s="71" t="s">
        <v>17</v>
      </c>
      <c r="T6" s="11"/>
    </row>
    <row r="7" spans="1:20" ht="13.5" customHeight="1">
      <c r="A7" s="449" t="s">
        <v>149</v>
      </c>
      <c r="B7" s="440"/>
      <c r="C7" s="450" t="str">
        <f>IF('2b.  Complex Form Data Entry'!G12="","   ",'2b.  Complex Form Data Entry'!G12)</f>
        <v>Public Health, FMD/Real Estate Services</v>
      </c>
      <c r="D7" s="450"/>
      <c r="E7" s="450"/>
      <c r="F7" s="450"/>
      <c r="G7" s="450"/>
      <c r="H7" s="450"/>
      <c r="I7" s="450"/>
      <c r="J7" s="450"/>
      <c r="L7" s="294" t="s">
        <v>27</v>
      </c>
      <c r="M7" s="294"/>
      <c r="P7" s="73"/>
      <c r="Q7" s="73"/>
      <c r="R7" s="320">
        <f>'2b.  Complex Form Data Entry'!G18</f>
        <v>4100000</v>
      </c>
      <c r="S7" s="54"/>
      <c r="T7" s="11"/>
    </row>
    <row r="8" spans="1:20" ht="13.5" customHeight="1">
      <c r="A8" s="441" t="s">
        <v>2</v>
      </c>
      <c r="B8" s="442"/>
      <c r="C8" s="292" t="str">
        <f>IF('2b.  Complex Form Data Entry'!G15="","   ",'2b.  Complex Form Data Entry'!G15)</f>
        <v>Carolyn Mock/Kate Donley</v>
      </c>
      <c r="E8" s="292"/>
      <c r="F8" s="442" t="s">
        <v>8</v>
      </c>
      <c r="G8" s="442"/>
      <c r="H8" s="329" t="str">
        <f>IF('2b.  Complex Form Data Entry'!G15=""," ",'2b.  Complex Form Data Entry'!G16)</f>
        <v>7/26/16</v>
      </c>
      <c r="I8" s="292"/>
      <c r="J8" s="292"/>
      <c r="L8" s="440" t="s">
        <v>10</v>
      </c>
      <c r="M8" s="440"/>
      <c r="N8" s="440"/>
      <c r="O8" s="440"/>
      <c r="P8" s="74"/>
      <c r="Q8" s="74"/>
      <c r="R8" s="292" t="str">
        <f>IF('2b.  Complex Form Data Entry'!G13="","   ",'2b.  Complex Form Data Entry'!G13)</f>
        <v>Sale</v>
      </c>
      <c r="S8" s="328"/>
      <c r="T8" s="11"/>
    </row>
    <row r="9" spans="1:20" ht="13.5" customHeight="1">
      <c r="A9" s="441" t="s">
        <v>3</v>
      </c>
      <c r="B9" s="442"/>
      <c r="C9" s="295" t="s">
        <v>206</v>
      </c>
      <c r="D9" s="292"/>
      <c r="E9" s="292"/>
      <c r="F9" s="442" t="s">
        <v>13</v>
      </c>
      <c r="G9" s="442"/>
      <c r="H9" s="369">
        <v>42598</v>
      </c>
      <c r="I9" s="292"/>
      <c r="J9" s="292"/>
      <c r="L9" s="440" t="s">
        <v>9</v>
      </c>
      <c r="M9" s="440"/>
      <c r="N9" s="440"/>
      <c r="O9" s="440"/>
      <c r="P9" s="55"/>
      <c r="Q9" s="55"/>
      <c r="R9" s="292" t="str">
        <f>IF('2b.  Complex Form Data Entry'!G14="","   ",'2b.  Complex Form Data Entry'!G14)</f>
        <v>Stand Alone</v>
      </c>
      <c r="S9" s="328"/>
      <c r="T9" s="11"/>
    </row>
    <row r="10" spans="1:20" ht="12.75">
      <c r="A10" s="330" t="s">
        <v>148</v>
      </c>
      <c r="B10" s="331"/>
      <c r="C10" s="459" t="str">
        <f>IF('2b.  Complex Form Data Entry'!G10=""," ",'2b.  Complex Form Data Entry'!G10)</f>
        <v>Sale of Northshore Public Health Center at 10808 NE 145th St, Bothell</v>
      </c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60"/>
      <c r="T10" s="11"/>
    </row>
    <row r="11" spans="1:20" ht="13.5" thickBot="1">
      <c r="A11" s="332"/>
      <c r="B11" s="333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53" t="s">
        <v>14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4" t="s">
        <v>32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58" t="s">
        <v>142</v>
      </c>
      <c r="B17" s="458"/>
      <c r="C17" s="458"/>
      <c r="D17" s="458"/>
      <c r="E17" s="502" t="str">
        <f>IF('2b.  Complex Form Data Entry'!G39="N","NA",'2b.  Complex Form Data Entry'!G40)</f>
        <v>NA</v>
      </c>
      <c r="F17" s="503"/>
      <c r="G17" s="504"/>
      <c r="H17" s="494" t="s">
        <v>150</v>
      </c>
      <c r="I17" s="495"/>
      <c r="J17" s="495"/>
      <c r="K17" s="495"/>
      <c r="L17" s="495"/>
      <c r="M17" s="495"/>
      <c r="N17" s="310"/>
      <c r="O17" s="502" t="str">
        <f>IF('2b.  Complex Form Data Entry'!G39="N","NA",'2b.  Complex Form Data Entry'!G41)</f>
        <v>NA</v>
      </c>
      <c r="P17" s="503"/>
      <c r="Q17" s="503"/>
      <c r="R17" s="503"/>
      <c r="S17" s="50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4" t="s">
        <v>33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143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511"/>
      <c r="C24" s="512"/>
      <c r="D24" s="356" t="s">
        <v>28</v>
      </c>
      <c r="E24" s="356" t="s">
        <v>29</v>
      </c>
      <c r="F24" s="356" t="s">
        <v>104</v>
      </c>
      <c r="G24" s="513" t="s">
        <v>11</v>
      </c>
      <c r="H24" s="356" t="s">
        <v>54</v>
      </c>
      <c r="I24" s="356" t="str">
        <f>'2b.  Complex Form Data Entry'!N57</f>
        <v>Sum of Revenues Prior to 2015</v>
      </c>
      <c r="J24" s="356">
        <f>'2b.  Complex Form Data Entry'!G19</f>
        <v>2015</v>
      </c>
      <c r="K24" s="514">
        <f>J24+1</f>
        <v>2016</v>
      </c>
      <c r="L24" s="514" t="str">
        <f>CONCATENATE(J24," / ",K24)</f>
        <v>2015 / 2016</v>
      </c>
      <c r="M24" s="514">
        <f>K24+1</f>
        <v>2017</v>
      </c>
      <c r="N24" s="514">
        <f>M24+1</f>
        <v>2018</v>
      </c>
      <c r="O24" s="514" t="str">
        <f>CONCATENATE(M24," / ",N24)</f>
        <v>2017 / 2018</v>
      </c>
      <c r="P24" s="514">
        <f>N24+1</f>
        <v>2019</v>
      </c>
      <c r="Q24" s="514">
        <f>P24+1</f>
        <v>2020</v>
      </c>
      <c r="R24" s="514" t="str">
        <f>CONCATENATE(P24," / ",Q24)</f>
        <v>2019 / 2020</v>
      </c>
      <c r="S24" s="515" t="s">
        <v>117</v>
      </c>
      <c r="T24" s="11"/>
    </row>
    <row r="25" spans="1:20" ht="13.5">
      <c r="A25" s="359" t="s">
        <v>201</v>
      </c>
      <c r="B25" s="516"/>
      <c r="C25" s="517"/>
      <c r="D25" s="518"/>
      <c r="E25" s="518"/>
      <c r="F25" s="362" t="s">
        <v>165</v>
      </c>
      <c r="G25" s="519"/>
      <c r="H25" s="520" t="s">
        <v>200</v>
      </c>
      <c r="I25" s="518"/>
      <c r="J25" s="518"/>
      <c r="K25" s="358">
        <f>'2b.  Complex Form Data Entry'!H84</f>
        <v>199135</v>
      </c>
      <c r="L25" s="77">
        <f>J25+K25</f>
        <v>199135</v>
      </c>
      <c r="M25" s="521"/>
      <c r="N25" s="521"/>
      <c r="O25" s="521"/>
      <c r="P25" s="521"/>
      <c r="Q25" s="521"/>
      <c r="R25" s="521"/>
      <c r="S25" s="522"/>
      <c r="T25" s="11"/>
    </row>
    <row r="26" spans="1:20" ht="13.5">
      <c r="A26" s="88" t="s">
        <v>208</v>
      </c>
      <c r="B26" s="516"/>
      <c r="C26" s="516"/>
      <c r="D26" s="363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364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363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365" t="str">
        <f>IF(A26="","   ",'2b.  Complex Form Data Entry'!D58)</f>
        <v>1114654</v>
      </c>
      <c r="H26" s="198" t="s">
        <v>204</v>
      </c>
      <c r="I26" s="77">
        <f>'2b.  Complex Form Data Entry'!N58</f>
        <v>0</v>
      </c>
      <c r="J26" s="77">
        <f>'2b.  Complex Form Data Entry'!G58</f>
        <v>0</v>
      </c>
      <c r="K26" s="77">
        <f>'2b.  Complex Form Data Entry'!G18</f>
        <v>4100000</v>
      </c>
      <c r="L26" s="77">
        <f>J26+K26</f>
        <v>4100000</v>
      </c>
      <c r="M26" s="77">
        <f>'2b.  Complex Form Data Entry'!I58</f>
        <v>0</v>
      </c>
      <c r="N26" s="77">
        <f>'2b.  Complex Form Data Entry'!J58</f>
        <v>0</v>
      </c>
      <c r="O26" s="77">
        <f aca="true" t="shared" si="0" ref="O26:O31">M26+N26</f>
        <v>0</v>
      </c>
      <c r="P26" s="77">
        <f>'2b.  Complex Form Data Entry'!K58</f>
        <v>0</v>
      </c>
      <c r="Q26" s="77">
        <f>'2b.  Complex Form Data Entry'!L58</f>
        <v>0</v>
      </c>
      <c r="R26" s="77">
        <f aca="true" t="shared" si="1" ref="R26:R31">P26+Q26</f>
        <v>0</v>
      </c>
      <c r="S26" s="77">
        <f>'2b.  Complex Form Data Entry'!M58</f>
        <v>0</v>
      </c>
      <c r="T26" s="11"/>
    </row>
    <row r="27" spans="1:20" ht="13.5">
      <c r="A27" s="359" t="s">
        <v>202</v>
      </c>
      <c r="B27" s="85"/>
      <c r="C27" s="85"/>
      <c r="D27" s="366" t="s">
        <v>48</v>
      </c>
      <c r="E27" s="366" t="s">
        <v>48</v>
      </c>
      <c r="F27" s="366" t="s">
        <v>48</v>
      </c>
      <c r="G27" s="366" t="s">
        <v>48</v>
      </c>
      <c r="H27" s="360" t="s">
        <v>199</v>
      </c>
      <c r="I27" s="80">
        <f>'2b.  Complex Form Data Entry'!N60</f>
        <v>0</v>
      </c>
      <c r="J27" s="77">
        <f>'2b.  Complex Form Data Entry'!G60</f>
        <v>0</v>
      </c>
      <c r="K27" s="357">
        <f>-('2b.  Complex Form Data Entry'!H88+'2b.  Complex Form Data Entry'!H89)</f>
        <v>-327250</v>
      </c>
      <c r="L27" s="80">
        <f aca="true" t="shared" si="2" ref="L27:L30">J27+K27</f>
        <v>-327250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Entry'!C59="","   ",'2b.  Complex Form Data Entry'!C59)</f>
        <v>FMD/Real Estate Services</v>
      </c>
      <c r="C28" s="85"/>
      <c r="D28" s="363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>A44000</v>
      </c>
      <c r="E28" s="364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>0440</v>
      </c>
      <c r="F28" s="363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>0010</v>
      </c>
      <c r="G28" s="365" t="str">
        <f>IF(A28="","   ",'2b.  Complex Form Data Entry'!D59)</f>
        <v>1046360</v>
      </c>
      <c r="H28" s="361" t="str">
        <f>IF('2b.  Complex Form Data Entry'!E59="","   ",'2b.  Complex Form Data Entry'!E59)</f>
        <v>34187 Costs Real Property Sales</v>
      </c>
      <c r="I28" s="80">
        <f>'2b.  Complex Form Data Entry'!N61</f>
        <v>0</v>
      </c>
      <c r="J28" s="77">
        <f>'2b.  Complex Form Data Entry'!G61</f>
        <v>0</v>
      </c>
      <c r="K28" s="77">
        <f>-('2b.  Complex Form Data Entry'!H59)</f>
        <v>-99461.69</v>
      </c>
      <c r="L28" s="80">
        <f t="shared" si="2"/>
        <v>-99461.69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Entry'!C60="","   ",'2b.  Complex Form Data Entry'!C60)</f>
        <v>Arts &amp; Cultural Development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>A30100</v>
      </c>
      <c r="E29" s="89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>94</v>
      </c>
      <c r="F29" s="177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>1170</v>
      </c>
      <c r="G29" s="90" t="str">
        <f>IF(A29="","   ",'2b.  Complex Form Data Entry'!D60)</f>
        <v>1047323</v>
      </c>
      <c r="H29" s="198" t="str">
        <f>IF('2b.  Complex Form Data Entry'!E60="","   ",'2b.  Complex Form Data Entry'!E60)</f>
        <v>39512 Sale of Land - 10% for Art</v>
      </c>
      <c r="I29" s="80">
        <f>'2b.  Complex Form Data Entry'!N62</f>
        <v>0</v>
      </c>
      <c r="J29" s="77">
        <f>'2b.  Complex Form Data Entry'!G62</f>
        <v>0</v>
      </c>
      <c r="K29" s="77">
        <f>-'2b.  Complex Form Data Entry'!H60</f>
        <v>-410000</v>
      </c>
      <c r="L29" s="80">
        <f t="shared" si="2"/>
        <v>-410000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Entry'!C61="","   ",'2b.  Complex Form Data Entry'!C61)</f>
        <v>FMD Building Repair &amp; Replacement</v>
      </c>
      <c r="B30" s="85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>A60500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>0605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>3951</v>
      </c>
      <c r="G30" s="90"/>
      <c r="H30" s="198" t="str">
        <f>IF('2b.  Complex Form Data Entry'!E61="","   ",'2b.  Complex Form Data Entry'!E61)</f>
        <v>Reimbursement for Tenant Improvements</v>
      </c>
      <c r="I30" s="80">
        <f>'2b.  Complex Form Data Entry'!N63</f>
        <v>0</v>
      </c>
      <c r="J30" s="77">
        <f>'2b.  Complex Form Data Entry'!G63</f>
        <v>0</v>
      </c>
      <c r="K30" s="77">
        <f>-'2b.  Complex Form Data Entry'!H61</f>
        <v>-855686</v>
      </c>
      <c r="L30" s="80">
        <f t="shared" si="2"/>
        <v>-855686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 t="s">
        <v>203</v>
      </c>
      <c r="B31" s="7"/>
      <c r="C31" s="290"/>
      <c r="D31" s="8" t="s">
        <v>161</v>
      </c>
      <c r="E31" s="367">
        <v>900</v>
      </c>
      <c r="F31" s="367">
        <v>1800</v>
      </c>
      <c r="G31" s="367">
        <v>1114654</v>
      </c>
      <c r="H31" s="196" t="s">
        <v>205</v>
      </c>
      <c r="I31" s="56">
        <f>SUM(I26:I30)</f>
        <v>0</v>
      </c>
      <c r="J31" s="56">
        <f>SUM(J26:J30)</f>
        <v>0</v>
      </c>
      <c r="K31" s="56">
        <f>SUM(K26:K30)</f>
        <v>2407602.31</v>
      </c>
      <c r="L31" s="56">
        <f aca="true" t="shared" si="3" ref="L31">J31+K31</f>
        <v>2407602.31</v>
      </c>
      <c r="M31" s="56">
        <f>SUM(M26:M30)</f>
        <v>0</v>
      </c>
      <c r="N31" s="56">
        <f>SUM(N26:N30)</f>
        <v>0</v>
      </c>
      <c r="O31" s="56">
        <f t="shared" si="0"/>
        <v>0</v>
      </c>
      <c r="P31" s="56">
        <f>SUM(P26:P30)</f>
        <v>0</v>
      </c>
      <c r="Q31" s="56">
        <f>SUM(Q26:Q30)</f>
        <v>0</v>
      </c>
      <c r="R31" s="56">
        <f t="shared" si="1"/>
        <v>0</v>
      </c>
      <c r="S31" s="65">
        <f>SUM(S26:S30)</f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84" t="str">
        <f>IF('2b.  Complex Form Data Entry'!E80="","   ",'2b.  Complex Form Data Entry'!E80)</f>
        <v>Public Health</v>
      </c>
      <c r="B35" s="485"/>
      <c r="C35" s="486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>A80000</v>
      </c>
      <c r="E35" s="89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>900</v>
      </c>
      <c r="F35" s="177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>1800</v>
      </c>
      <c r="G35" s="79" t="str">
        <f>IF('2b.  Complex Form Data Entry'!I80="","   ",'2b.  Complex Form Data Entry'!I80)</f>
        <v>1114654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>Due Diligence, Appraisal Review, Marketing, Legislation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77234.55</v>
      </c>
      <c r="L36" s="80">
        <f>J36+K36</f>
        <v>77234.55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4" ref="O36:O44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5" ref="R36:R44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>FMD Labor Costs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6992.14</v>
      </c>
      <c r="L37" s="80">
        <f aca="true" t="shared" si="6" ref="L37:L44">J37+K37</f>
        <v>6992.14</v>
      </c>
      <c r="M37" s="80">
        <f>'2b.  Complex Form Data Entry'!I83</f>
        <v>0</v>
      </c>
      <c r="N37" s="80">
        <f>'2b.  Complex Form Data Entry'!J83</f>
        <v>0</v>
      </c>
      <c r="O37" s="80">
        <f t="shared" si="4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5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L38" s="80"/>
      <c r="M38" s="80">
        <f>'2b.  Complex Form Data Entry'!I84</f>
        <v>0</v>
      </c>
      <c r="N38" s="80">
        <f>'2b.  Complex Form Data Entry'!J84</f>
        <v>0</v>
      </c>
      <c r="O38" s="80">
        <f t="shared" si="4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5"/>
        <v>0</v>
      </c>
      <c r="S38" s="83">
        <f>'2b.  Complex Form Data Entry'!M84</f>
        <v>0</v>
      </c>
      <c r="T38" s="12"/>
    </row>
    <row r="39" spans="1:20" ht="13.5" customHeight="1">
      <c r="A39" s="16"/>
      <c r="B39" s="436" t="s">
        <v>55</v>
      </c>
      <c r="C39" s="437"/>
      <c r="D39" s="45"/>
      <c r="E39" s="45"/>
      <c r="F39" s="45"/>
      <c r="G39" s="45"/>
      <c r="H39" s="200" t="str">
        <f>IF('2b.  Complex Form Data Entry'!E85="","  ",'2b.  Complex Form Data Entry'!E85)</f>
        <v>Appraisal Contracts, Title Report, Appraisal Review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15235</v>
      </c>
      <c r="L39" s="80">
        <f t="shared" si="6"/>
        <v>15235</v>
      </c>
      <c r="M39" s="80">
        <f>'2b.  Complex Form Data Entry'!I85</f>
        <v>0</v>
      </c>
      <c r="N39" s="80">
        <f>'2b.  Complex Form Data Entry'!J85</f>
        <v>0</v>
      </c>
      <c r="O39" s="80">
        <f t="shared" si="4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5"/>
        <v>0</v>
      </c>
      <c r="S39" s="83">
        <f>'2b.  Complex Form Data Entry'!M85</f>
        <v>0</v>
      </c>
      <c r="T39" s="12"/>
    </row>
    <row r="40" spans="1:20" ht="27">
      <c r="A40" s="16"/>
      <c r="B40" s="423" t="s">
        <v>56</v>
      </c>
      <c r="C40" s="424"/>
      <c r="D40" s="45"/>
      <c r="E40" s="45"/>
      <c r="F40" s="45"/>
      <c r="G40" s="45"/>
      <c r="H40" s="200" t="str">
        <f>IF('2b.  Complex Form Data Entry'!E86="","  ",'2b.  Complex Form Data Entry'!E86)</f>
        <v>Tenant Improvements for new leased space at Evergreen Medical Center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855686</v>
      </c>
      <c r="L40" s="80">
        <f t="shared" si="6"/>
        <v>855686</v>
      </c>
      <c r="M40" s="80">
        <f>'2b.  Complex Form Data Entry'!I86</f>
        <v>0</v>
      </c>
      <c r="N40" s="80">
        <f>'2b.  Complex Form Data Entry'!J86</f>
        <v>0</v>
      </c>
      <c r="O40" s="80">
        <f t="shared" si="4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5"/>
        <v>0</v>
      </c>
      <c r="S40" s="83">
        <f>'2b.  Complex Form Data Entry'!M86</f>
        <v>0</v>
      </c>
      <c r="T40" s="12"/>
    </row>
    <row r="41" spans="1:20" ht="13.5" customHeight="1">
      <c r="A41" s="16"/>
      <c r="B41" s="436" t="s">
        <v>57</v>
      </c>
      <c r="C41" s="437"/>
      <c r="D41" s="45"/>
      <c r="E41" s="45"/>
      <c r="F41" s="45"/>
      <c r="G41" s="45"/>
      <c r="H41" s="200" t="str">
        <f>IF('2b.  Complex Form Data Entry'!E87="","  ",'2b.  Complex Form Data Entry'!E87)</f>
        <v>10% for Arts per KCC 4.56.130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410000</v>
      </c>
      <c r="L41" s="80">
        <f t="shared" si="6"/>
        <v>410000</v>
      </c>
      <c r="M41" s="80">
        <f>'2b.  Complex Form Data Entry'!I87</f>
        <v>0</v>
      </c>
      <c r="N41" s="80">
        <f>'2b.  Complex Form Data Entry'!J87</f>
        <v>0</v>
      </c>
      <c r="O41" s="80">
        <f t="shared" si="4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5"/>
        <v>0</v>
      </c>
      <c r="S41" s="83">
        <f>'2b.  Complex Form Data Entry'!M87</f>
        <v>0</v>
      </c>
      <c r="T41" s="12"/>
    </row>
    <row r="42" spans="1:20" ht="13.5" customHeight="1">
      <c r="A42" s="16"/>
      <c r="B42" s="425" t="s">
        <v>26</v>
      </c>
      <c r="C42" s="426"/>
      <c r="D42" s="45"/>
      <c r="E42" s="45"/>
      <c r="F42" s="45"/>
      <c r="G42" s="45"/>
      <c r="H42" s="200" t="str">
        <f>IF('2b.  Complex Form Data Entry'!E88="","  ",'2b.  Complex Form Data Entry'!E88)</f>
        <v>HVAC System Replacement - to be held back in escrow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132500</v>
      </c>
      <c r="L42" s="80">
        <f t="shared" si="6"/>
        <v>132500</v>
      </c>
      <c r="M42" s="80">
        <f>'2b.  Complex Form Data Entry'!I88</f>
        <v>0</v>
      </c>
      <c r="N42" s="80">
        <f>'2b.  Complex Form Data Entry'!J88</f>
        <v>0</v>
      </c>
      <c r="O42" s="80">
        <f t="shared" si="4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5"/>
        <v>0</v>
      </c>
      <c r="S42" s="83">
        <f>'2b.  Complex Form Data Entry'!M88</f>
        <v>0</v>
      </c>
      <c r="T42" s="12"/>
    </row>
    <row r="43" spans="1:20" ht="13.5" customHeight="1">
      <c r="A43" s="57"/>
      <c r="B43" s="425" t="s">
        <v>26</v>
      </c>
      <c r="C43" s="426"/>
      <c r="D43" s="355"/>
      <c r="E43" s="355"/>
      <c r="F43" s="355"/>
      <c r="G43" s="355"/>
      <c r="H43" s="352" t="str">
        <f>IF('2b.  Complex Form Data Entry'!E89="","  ",'2b.  Complex Form Data Entry'!E89)</f>
        <v>Broker Commission @ 4.75%</v>
      </c>
      <c r="I43" s="80">
        <f>'2b.  Complex Form Data Entry'!N89</f>
        <v>0</v>
      </c>
      <c r="J43" s="80">
        <f>'2b.  Complex Form Data Entry'!G89</f>
        <v>0</v>
      </c>
      <c r="K43" s="80">
        <f>'2b.  Complex Form Data Entry'!H89</f>
        <v>194750</v>
      </c>
      <c r="L43" s="80">
        <f aca="true" t="shared" si="7" ref="L43">J43+K43</f>
        <v>194750</v>
      </c>
      <c r="M43" s="80">
        <f>'2b.  Complex Form Data Entry'!I89</f>
        <v>0</v>
      </c>
      <c r="N43" s="80">
        <f>'2b.  Complex Form Data Entry'!J89</f>
        <v>0</v>
      </c>
      <c r="O43" s="80">
        <f aca="true" t="shared" si="8" ref="O43">M43+N43</f>
        <v>0</v>
      </c>
      <c r="P43" s="80">
        <f>'2b.  Complex Form Data Entry'!K89</f>
        <v>0</v>
      </c>
      <c r="Q43" s="80">
        <f>'2b.  Complex Form Data Entry'!L89</f>
        <v>0</v>
      </c>
      <c r="R43" s="80">
        <f aca="true" t="shared" si="9" ref="R43">P43+Q43</f>
        <v>0</v>
      </c>
      <c r="S43" s="83">
        <f>'2b.  Complex Form Data Entry'!M89</f>
        <v>0</v>
      </c>
      <c r="T43" s="12"/>
    </row>
    <row r="44" spans="1:20" ht="13.5">
      <c r="A44" s="26"/>
      <c r="B44" s="27"/>
      <c r="C44" s="28" t="s">
        <v>12</v>
      </c>
      <c r="D44" s="29"/>
      <c r="E44" s="29"/>
      <c r="F44" s="29"/>
      <c r="G44" s="29"/>
      <c r="H44" s="201"/>
      <c r="I44" s="63">
        <f aca="true" t="shared" si="10" ref="I44:S44">SUM(I36:I42)</f>
        <v>0</v>
      </c>
      <c r="J44" s="63">
        <f t="shared" si="10"/>
        <v>0</v>
      </c>
      <c r="K44" s="63">
        <f>SUM(K36:K43)</f>
        <v>1692397.69</v>
      </c>
      <c r="L44" s="63">
        <f t="shared" si="6"/>
        <v>1692397.69</v>
      </c>
      <c r="M44" s="63">
        <f t="shared" si="10"/>
        <v>0</v>
      </c>
      <c r="N44" s="63">
        <f t="shared" si="10"/>
        <v>0</v>
      </c>
      <c r="O44" s="63">
        <f t="shared" si="4"/>
        <v>0</v>
      </c>
      <c r="P44" s="63">
        <f aca="true" t="shared" si="11" ref="P44:Q44">SUM(P36:P42)</f>
        <v>0</v>
      </c>
      <c r="Q44" s="63">
        <f t="shared" si="11"/>
        <v>0</v>
      </c>
      <c r="R44" s="63">
        <f t="shared" si="5"/>
        <v>0</v>
      </c>
      <c r="S44" s="64">
        <f t="shared" si="10"/>
        <v>0</v>
      </c>
      <c r="T44" s="12"/>
    </row>
    <row r="45" spans="1:20" ht="3" customHeight="1">
      <c r="A45" s="16"/>
      <c r="B45" s="18"/>
      <c r="C45" s="22"/>
      <c r="D45" s="23"/>
      <c r="E45" s="23"/>
      <c r="F45" s="23"/>
      <c r="G45" s="23"/>
      <c r="H45" s="196"/>
      <c r="I45" s="47"/>
      <c r="J45" s="24"/>
      <c r="K45" s="24"/>
      <c r="L45" s="24"/>
      <c r="M45" s="24"/>
      <c r="N45" s="24"/>
      <c r="O45" s="24"/>
      <c r="P45" s="24"/>
      <c r="Q45" s="24"/>
      <c r="R45" s="301"/>
      <c r="S45" s="25"/>
      <c r="T45" s="12"/>
    </row>
    <row r="46" spans="1:20" ht="13.5">
      <c r="A46" s="427" t="str">
        <f>IF('2b.  Complex Form Data Entry'!E92="","   ",'2b.  Complex Form Data Entry'!E92)</f>
        <v>Public Health</v>
      </c>
      <c r="B46" s="428"/>
      <c r="C46" s="429"/>
      <c r="D46" s="177" t="str">
        <f>IF(A46="   ","   ",IF(A46='2b.  Complex Form Data Entry'!$G$21,'2b.  Complex Form Data Entry'!J$21,IF(A46='2b.  Complex Form Data Entry'!$G$22,'2b.  Complex Form Data Entry'!J$22,IF(A46='2b.  Complex Form Data Entry'!$G$23,'2b.  Complex Form Data Entry'!J$23,IF(A46='2b.  Complex Form Data Entry'!$G$24,'2b.  Complex Form Data Entry'!$J$24,IF(A46='2b.  Complex Form Data Entry'!$G$25,'2b.  Complex Form Data Entry'!J$25,IF(A46='2b.  Complex Form Data Entry'!$G$26,'2b.  Complex Form Data Entry'!J$26,"   ")))))))</f>
        <v>A80000</v>
      </c>
      <c r="E46" s="89">
        <f>IF(A46="   ","   ",IF(A46='2b.  Complex Form Data Entry'!$G$21,'2b.  Complex Form Data Entry'!K$21,IF(A46='2b.  Complex Form Data Entry'!$G$22,'2b.  Complex Form Data Entry'!K$22,IF(A46='2b.  Complex Form Data Entry'!$G$23,'2b.  Complex Form Data Entry'!K$23,IF(A46='2b.  Complex Form Data Entry'!$G$24,'2b.  Complex Form Data Entry'!$K$24,IF(A46='2b.  Complex Form Data Entry'!G$25,'2b.  Complex Form Data Entry'!K$25,IF(A46='2b.  Complex Form Data Entry'!G$26,'2b.  Complex Form Data Entry'!K$26,"   ")))))))</f>
        <v>900</v>
      </c>
      <c r="F46" s="177">
        <f>IF(A46="   ","   ",IF(A46='2b.  Complex Form Data Entry'!$G$21,'2b.  Complex Form Data Entry'!L$21,IF(A46='2b.  Complex Form Data Entry'!$G$22,'2b.  Complex Form Data Entry'!L$22,IF(A46='2b.  Complex Form Data Entry'!$G$23,'2b.  Complex Form Data Entry'!L$23,IF(A46='2b.  Complex Form Data Entry'!$G$24,'2b.  Complex Form Data Entry'!$L$24,IF(A46='2b.  Complex Form Data Entry'!G$25,'2b.  Complex Form Data Entry'!L$25,IF(A46='2b.  Complex Form Data Entry'!G$26,'2b.  Complex Form Data Entry'!L$26,"   ")))))))</f>
        <v>1800</v>
      </c>
      <c r="G46" s="79" t="str">
        <f>IF('2b.  Complex Form Data Entry'!I92="","   ",'2b.  Complex Form Data Entry'!I92)</f>
        <v>1114654</v>
      </c>
      <c r="H46" s="198"/>
      <c r="I46" s="48"/>
      <c r="J46" s="38"/>
      <c r="K46" s="38"/>
      <c r="L46" s="38"/>
      <c r="M46" s="38"/>
      <c r="N46" s="38"/>
      <c r="O46" s="38"/>
      <c r="P46" s="38"/>
      <c r="Q46" s="38"/>
      <c r="R46" s="302"/>
      <c r="S46" s="39"/>
      <c r="T46" s="12"/>
    </row>
    <row r="47" spans="1:20" ht="13.5" customHeight="1">
      <c r="A47" s="19"/>
      <c r="B47" s="50" t="s">
        <v>21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aca="true" t="shared" si="12" ref="L47:L96">J47+K47</f>
        <v>0</v>
      </c>
      <c r="M47" s="81">
        <f>'2b.  Complex Form Data Entry'!I94</f>
        <v>0</v>
      </c>
      <c r="N47" s="81">
        <f>'2b.  Complex Form Data Entry'!J94</f>
        <v>0</v>
      </c>
      <c r="O47" s="80">
        <f aca="true" t="shared" si="13" ref="O47:O96">M47+N47</f>
        <v>0</v>
      </c>
      <c r="P47" s="81">
        <f>'2b.  Complex Form Data Entry'!K94</f>
        <v>0</v>
      </c>
      <c r="Q47" s="81">
        <f>'2b.  Complex Form Data Entry'!L94</f>
        <v>0</v>
      </c>
      <c r="R47" s="80">
        <f aca="true" t="shared" si="14" ref="R47:R96">P47+Q47</f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25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2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3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4"/>
        <v>0</v>
      </c>
      <c r="S48" s="83">
        <f>'2b.  Complex Form Data Entry'!M95</f>
        <v>0</v>
      </c>
      <c r="T48" s="12"/>
    </row>
    <row r="49" spans="1:20" ht="13.5" customHeight="1">
      <c r="A49" s="19"/>
      <c r="B49" s="50" t="s">
        <v>53</v>
      </c>
      <c r="C49" s="20"/>
      <c r="D49" s="45"/>
      <c r="E49" s="45"/>
      <c r="F49" s="45"/>
      <c r="G49" s="45"/>
      <c r="H49" s="200" t="str">
        <f>IF('2b.  Complex Form Data Entry'!E96="","  ",'2b.  Complex Form Data Entry'!E96)</f>
        <v>Short Term Leaseback @$13,564.17/month; 3 month term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40692.51</v>
      </c>
      <c r="L49" s="80">
        <f t="shared" si="12"/>
        <v>40692.51</v>
      </c>
      <c r="M49" s="81">
        <f>'2b.  Complex Form Data Entry'!I96</f>
        <v>0</v>
      </c>
      <c r="N49" s="81">
        <f>'2b.  Complex Form Data Entry'!J96</f>
        <v>0</v>
      </c>
      <c r="O49" s="80">
        <f t="shared" si="13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4"/>
        <v>0</v>
      </c>
      <c r="S49" s="83">
        <f>'2b.  Complex Form Data Entry'!M96</f>
        <v>0</v>
      </c>
      <c r="T49" s="12"/>
    </row>
    <row r="50" spans="1:20" ht="13.5" customHeight="1">
      <c r="A50" s="19"/>
      <c r="B50" s="436" t="s">
        <v>55</v>
      </c>
      <c r="C50" s="43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2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3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4"/>
        <v>0</v>
      </c>
      <c r="S50" s="83">
        <f>'2b.  Complex Form Data Entry'!M97</f>
        <v>0</v>
      </c>
      <c r="T50" s="12"/>
    </row>
    <row r="51" spans="1:20" ht="13.5" customHeight="1">
      <c r="A51" s="19"/>
      <c r="B51" s="423" t="s">
        <v>56</v>
      </c>
      <c r="C51" s="42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2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3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4"/>
        <v>0</v>
      </c>
      <c r="S51" s="83">
        <f>'2b.  Complex Form Data Entry'!M98</f>
        <v>0</v>
      </c>
      <c r="T51" s="12"/>
    </row>
    <row r="52" spans="1:20" ht="13.5" customHeight="1">
      <c r="A52" s="19"/>
      <c r="B52" s="436" t="s">
        <v>57</v>
      </c>
      <c r="C52" s="437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2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3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4"/>
        <v>0</v>
      </c>
      <c r="S52" s="83">
        <f>'2b.  Complex Form Data Entry'!M99</f>
        <v>0</v>
      </c>
      <c r="T52" s="12"/>
    </row>
    <row r="53" spans="1:20" ht="13.5" customHeight="1">
      <c r="A53" s="19"/>
      <c r="B53" s="425" t="s">
        <v>26</v>
      </c>
      <c r="C53" s="426"/>
      <c r="D53" s="45"/>
      <c r="E53" s="45"/>
      <c r="F53" s="45"/>
      <c r="G53" s="45"/>
      <c r="H53" s="200" t="str">
        <f>IF('2b.  Complex Form Data Entry'!E100="","  ",'2b.  Complex Form Data Entry'!E100)</f>
        <v xml:space="preserve">  </v>
      </c>
      <c r="I53" s="81">
        <f>'2b.  Complex Form Data Entry'!N100</f>
        <v>0</v>
      </c>
      <c r="J53" s="81">
        <f>'2b.  Complex Form Data Entry'!G100</f>
        <v>0</v>
      </c>
      <c r="K53" s="81">
        <f>'2b.  Complex Form Data Entry'!H100</f>
        <v>0</v>
      </c>
      <c r="L53" s="80">
        <f t="shared" si="12"/>
        <v>0</v>
      </c>
      <c r="M53" s="81">
        <f>'2b.  Complex Form Data Entry'!I100</f>
        <v>0</v>
      </c>
      <c r="N53" s="81">
        <f>'2b.  Complex Form Data Entry'!J100</f>
        <v>0</v>
      </c>
      <c r="O53" s="80">
        <f t="shared" si="13"/>
        <v>0</v>
      </c>
      <c r="P53" s="81">
        <f>'2b.  Complex Form Data Entry'!K100</f>
        <v>0</v>
      </c>
      <c r="Q53" s="81">
        <f>'2b.  Complex Form Data Entry'!L100</f>
        <v>0</v>
      </c>
      <c r="R53" s="80">
        <f t="shared" si="14"/>
        <v>0</v>
      </c>
      <c r="S53" s="83">
        <f>'2b.  Complex Form Data Entry'!M100</f>
        <v>0</v>
      </c>
      <c r="T53" s="12"/>
    </row>
    <row r="54" spans="1:20" ht="13.5">
      <c r="A54" s="26"/>
      <c r="B54" s="27"/>
      <c r="C54" s="28" t="s">
        <v>12</v>
      </c>
      <c r="D54" s="29"/>
      <c r="E54" s="29"/>
      <c r="F54" s="29"/>
      <c r="G54" s="29"/>
      <c r="H54" s="201"/>
      <c r="I54" s="63">
        <f aca="true" t="shared" si="15" ref="I54:S54">SUM(I47:I53)</f>
        <v>0</v>
      </c>
      <c r="J54" s="63">
        <f t="shared" si="15"/>
        <v>0</v>
      </c>
      <c r="K54" s="63">
        <f t="shared" si="15"/>
        <v>40692.51</v>
      </c>
      <c r="L54" s="63">
        <f t="shared" si="12"/>
        <v>40692.51</v>
      </c>
      <c r="M54" s="63">
        <f t="shared" si="15"/>
        <v>0</v>
      </c>
      <c r="N54" s="63">
        <f t="shared" si="15"/>
        <v>0</v>
      </c>
      <c r="O54" s="63">
        <f t="shared" si="13"/>
        <v>0</v>
      </c>
      <c r="P54" s="63">
        <f aca="true" t="shared" si="16" ref="P54:Q54">SUM(P47:P53)</f>
        <v>0</v>
      </c>
      <c r="Q54" s="63">
        <f t="shared" si="16"/>
        <v>0</v>
      </c>
      <c r="R54" s="63">
        <f t="shared" si="14"/>
        <v>0</v>
      </c>
      <c r="S54" s="64">
        <f t="shared" si="15"/>
        <v>0</v>
      </c>
      <c r="T54" s="12"/>
    </row>
    <row r="55" spans="1:20" ht="3" customHeight="1">
      <c r="A55" s="16"/>
      <c r="B55" s="18"/>
      <c r="C55" s="13"/>
      <c r="D55" s="23"/>
      <c r="E55" s="23"/>
      <c r="F55" s="23"/>
      <c r="G55" s="23"/>
      <c r="H55" s="202"/>
      <c r="I55" s="59"/>
      <c r="J55" s="60"/>
      <c r="K55" s="60"/>
      <c r="L55" s="80">
        <f t="shared" si="12"/>
        <v>0</v>
      </c>
      <c r="M55" s="61"/>
      <c r="N55" s="60"/>
      <c r="O55" s="80">
        <f t="shared" si="13"/>
        <v>0</v>
      </c>
      <c r="P55" s="60"/>
      <c r="Q55" s="60"/>
      <c r="R55" s="80">
        <f t="shared" si="14"/>
        <v>0</v>
      </c>
      <c r="S55" s="62"/>
      <c r="T55" s="12"/>
    </row>
    <row r="56" spans="1:20" ht="13.5">
      <c r="A56" s="427" t="s">
        <v>185</v>
      </c>
      <c r="B56" s="428"/>
      <c r="C56" s="429"/>
      <c r="D56" s="177" t="str">
        <f>IF(A56="   ","   ",IF(A56='2b.  Complex Form Data Entry'!$G$21,'2b.  Complex Form Data Entry'!J$21,IF(A56='2b.  Complex Form Data Entry'!$G$22,'2b.  Complex Form Data Entry'!J$22,IF(A56='2b.  Complex Form Data Entry'!$G$23,'2b.  Complex Form Data Entry'!J$23,IF(A56='2b.  Complex Form Data Entry'!$G$24,'2b.  Complex Form Data Entry'!$J$24,IF(A56='2b.  Complex Form Data Entry'!$G$25,'2b.  Complex Form Data Entry'!J$25,IF(A56='2b.  Complex Form Data Entry'!$G$26,'2b.  Complex Form Data Entry'!J$26,"   ")))))))</f>
        <v>A69900</v>
      </c>
      <c r="E56" s="89">
        <f>IF(A56="   ","   ",IF(A56='2b.  Complex Form Data Entry'!$G$21,'2b.  Complex Form Data Entry'!K$21,IF(A56='2b.  Complex Form Data Entry'!$G$22,'2b.  Complex Form Data Entry'!K$22,IF(A56='2b.  Complex Form Data Entry'!$G$23,'2b.  Complex Form Data Entry'!K$23,IF(A56='2b.  Complex Form Data Entry'!$G$24,'2b.  Complex Form Data Entry'!$K$24,IF(A56='2b.  Complex Form Data Entry'!G$25,'2b.  Complex Form Data Entry'!K$25,IF(A56='2b.  Complex Form Data Entry'!G$26,'2b.  Complex Form Data Entry'!K$26,"   ")))))))</f>
        <v>0</v>
      </c>
      <c r="F56" s="177">
        <f>IF(A56="   ","   ",IF(A56='2b.  Complex Form Data Entry'!$G$21,'2b.  Complex Form Data Entry'!L$21,IF(A56='2b.  Complex Form Data Entry'!$G$22,'2b.  Complex Form Data Entry'!L$22,IF(A56='2b.  Complex Form Data Entry'!$G$23,'2b.  Complex Form Data Entry'!L$23,IF(A56='2b.  Complex Form Data Entry'!$G$24,'2b.  Complex Form Data Entry'!$L$24,IF(A56='2b.  Complex Form Data Entry'!$G$25,'2b.  Complex Form Data Entry'!$L$25,IF(A56='2b.  Complex Form Data Entry'!$G$26,'2b.  Complex Form Data Entry'!$L$26,"   ")))))))</f>
        <v>0</v>
      </c>
      <c r="G56" s="79" t="str">
        <f>IF('2b.  Complex Form Data Entry'!I103="","   ",'2b.  Complex Form Data Entry'!I103)</f>
        <v xml:space="preserve">   </v>
      </c>
      <c r="H56" s="198"/>
      <c r="I56" s="48"/>
      <c r="J56" s="38"/>
      <c r="K56" s="38"/>
      <c r="L56" s="80">
        <f t="shared" si="12"/>
        <v>0</v>
      </c>
      <c r="M56" s="38"/>
      <c r="N56" s="38"/>
      <c r="O56" s="80">
        <f t="shared" si="13"/>
        <v>0</v>
      </c>
      <c r="P56" s="38"/>
      <c r="Q56" s="38"/>
      <c r="R56" s="80">
        <f t="shared" si="14"/>
        <v>0</v>
      </c>
      <c r="S56" s="39"/>
      <c r="T56" s="12"/>
    </row>
    <row r="57" spans="1:20" ht="13.5" customHeight="1">
      <c r="A57" s="19"/>
      <c r="B57" s="50" t="s">
        <v>21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2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3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4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25</v>
      </c>
      <c r="C58" s="20"/>
      <c r="D58" s="45"/>
      <c r="E58" s="45"/>
      <c r="F58" s="45"/>
      <c r="G58" s="45"/>
      <c r="H58" s="368"/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2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3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4"/>
        <v>0</v>
      </c>
      <c r="S58" s="83">
        <f>'2b.  Complex Form Data Entry'!M106</f>
        <v>0</v>
      </c>
      <c r="T58" s="12"/>
    </row>
    <row r="59" spans="1:20" ht="13.5" customHeight="1">
      <c r="A59" s="19"/>
      <c r="B59" s="50" t="s">
        <v>53</v>
      </c>
      <c r="C59" s="2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2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3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4"/>
        <v>0</v>
      </c>
      <c r="S59" s="83">
        <f>'2b.  Complex Form Data Entry'!M107</f>
        <v>0</v>
      </c>
      <c r="T59" s="12"/>
    </row>
    <row r="60" spans="1:20" ht="13.5" customHeight="1">
      <c r="A60" s="19"/>
      <c r="B60" s="436" t="s">
        <v>55</v>
      </c>
      <c r="C60" s="43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2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3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4"/>
        <v>0</v>
      </c>
      <c r="S60" s="83">
        <f>'2b.  Complex Form Data Entry'!M108</f>
        <v>0</v>
      </c>
      <c r="T60" s="12"/>
    </row>
    <row r="61" spans="1:20" ht="13.5" customHeight="1">
      <c r="A61" s="19"/>
      <c r="B61" s="423" t="s">
        <v>56</v>
      </c>
      <c r="C61" s="42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2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3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4"/>
        <v>0</v>
      </c>
      <c r="S61" s="83">
        <f>'2b.  Complex Form Data Entry'!M109</f>
        <v>0</v>
      </c>
      <c r="T61" s="12"/>
    </row>
    <row r="62" spans="1:20" ht="13.5" customHeight="1">
      <c r="A62" s="19"/>
      <c r="B62" s="436" t="s">
        <v>57</v>
      </c>
      <c r="C62" s="437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2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3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4"/>
        <v>0</v>
      </c>
      <c r="S62" s="83">
        <f>'2b.  Complex Form Data Entry'!M110</f>
        <v>0</v>
      </c>
      <c r="T62" s="12"/>
    </row>
    <row r="63" spans="1:20" ht="13.5" customHeight="1">
      <c r="A63" s="19"/>
      <c r="B63" s="425" t="s">
        <v>26</v>
      </c>
      <c r="C63" s="426"/>
      <c r="D63" s="45"/>
      <c r="E63" s="45"/>
      <c r="F63" s="45"/>
      <c r="G63" s="45"/>
      <c r="H63" s="200" t="str">
        <f>H25</f>
        <v>39780  General Fund (Disappropriation of remaining HVAC proj.)</v>
      </c>
      <c r="I63" s="81">
        <f>'2b.  Complex Form Data Entry'!N111</f>
        <v>0</v>
      </c>
      <c r="J63" s="81">
        <f>'2b.  Complex Form Data Entry'!G111</f>
        <v>0</v>
      </c>
      <c r="K63" s="80">
        <f>-'2b.  Complex Form Data Entry'!H84</f>
        <v>-199135</v>
      </c>
      <c r="L63" s="80">
        <f>SUM(J63:K63)</f>
        <v>-199135</v>
      </c>
      <c r="M63" s="81">
        <f>'2b.  Complex Form Data Entry'!I111</f>
        <v>0</v>
      </c>
      <c r="N63" s="81">
        <f>'2b.  Complex Form Data Entry'!J111</f>
        <v>0</v>
      </c>
      <c r="O63" s="80">
        <f t="shared" si="13"/>
        <v>0</v>
      </c>
      <c r="P63" s="81">
        <f>'2b.  Complex Form Data Entry'!K111</f>
        <v>0</v>
      </c>
      <c r="Q63" s="81">
        <f>'2b.  Complex Form Data Entry'!L111</f>
        <v>0</v>
      </c>
      <c r="R63" s="80">
        <f t="shared" si="14"/>
        <v>0</v>
      </c>
      <c r="S63" s="83">
        <f>'2b.  Complex Form Data Entry'!M111</f>
        <v>0</v>
      </c>
      <c r="T63" s="12"/>
    </row>
    <row r="64" spans="1:20" ht="13.5">
      <c r="A64" s="26"/>
      <c r="B64" s="27"/>
      <c r="C64" s="28" t="s">
        <v>12</v>
      </c>
      <c r="D64" s="29"/>
      <c r="E64" s="29"/>
      <c r="F64" s="29"/>
      <c r="G64" s="29"/>
      <c r="H64" s="201"/>
      <c r="I64" s="63">
        <f aca="true" t="shared" si="17" ref="I64:S64">SUM(I57:I63)</f>
        <v>0</v>
      </c>
      <c r="J64" s="63">
        <f t="shared" si="17"/>
        <v>0</v>
      </c>
      <c r="K64" s="63">
        <f>SUM(K57:K63)</f>
        <v>-199135</v>
      </c>
      <c r="L64" s="63">
        <f t="shared" si="12"/>
        <v>-199135</v>
      </c>
      <c r="M64" s="63">
        <f t="shared" si="17"/>
        <v>0</v>
      </c>
      <c r="N64" s="63">
        <f t="shared" si="17"/>
        <v>0</v>
      </c>
      <c r="O64" s="63">
        <f t="shared" si="13"/>
        <v>0</v>
      </c>
      <c r="P64" s="63">
        <f aca="true" t="shared" si="18" ref="P64:Q64">SUM(P57:P63)</f>
        <v>0</v>
      </c>
      <c r="Q64" s="63">
        <f t="shared" si="18"/>
        <v>0</v>
      </c>
      <c r="R64" s="63">
        <f t="shared" si="14"/>
        <v>0</v>
      </c>
      <c r="S64" s="64">
        <f t="shared" si="17"/>
        <v>0</v>
      </c>
      <c r="T64" s="12"/>
    </row>
    <row r="65" spans="1:20" ht="3" customHeight="1">
      <c r="A65" s="57"/>
      <c r="B65" s="58"/>
      <c r="C65" s="2"/>
      <c r="D65" s="23"/>
      <c r="E65" s="23"/>
      <c r="F65" s="23"/>
      <c r="G65" s="23"/>
      <c r="H65" s="202"/>
      <c r="I65" s="59"/>
      <c r="J65" s="60"/>
      <c r="K65" s="60"/>
      <c r="L65" s="80">
        <f t="shared" si="12"/>
        <v>0</v>
      </c>
      <c r="M65" s="61"/>
      <c r="N65" s="60"/>
      <c r="O65" s="80">
        <f t="shared" si="13"/>
        <v>0</v>
      </c>
      <c r="P65" s="60"/>
      <c r="Q65" s="60"/>
      <c r="R65" s="80">
        <f t="shared" si="14"/>
        <v>0</v>
      </c>
      <c r="S65" s="62"/>
      <c r="T65" s="12"/>
    </row>
    <row r="66" spans="1:20" ht="13.5" hidden="1">
      <c r="A66" s="427" t="str">
        <f>IF('2b.  Complex Form Data Entry'!E114="","   ",'2b.  Complex Form Data Entry'!E114)</f>
        <v xml:space="preserve">   </v>
      </c>
      <c r="B66" s="428"/>
      <c r="C66" s="429"/>
      <c r="D66" s="177" t="str">
        <f>IF(A66="   ","   ",IF(A66='2b.  Complex Form Data Entry'!$G$21,'2b.  Complex Form Data Entry'!J$21,IF(A66='2b.  Complex Form Data Entry'!$G$22,'2b.  Complex Form Data Entry'!J$22,IF(A66='2b.  Complex Form Data Entry'!$G$23,'2b.  Complex Form Data Entry'!J$23,IF(A66='2b.  Complex Form Data Entry'!$G$24,'2b.  Complex Form Data Entry'!$J$24,IF(A66='2b.  Complex Form Data Entry'!$G$25,'2b.  Complex Form Data Entry'!J$25,IF(A66='2b.  Complex Form Data Entry'!$G$26,'2b.  Complex Form Data Entry'!J$26,"   ")))))))</f>
        <v xml:space="preserve">   </v>
      </c>
      <c r="E66" s="89" t="str">
        <f>IF(A66="   ","   ",IF(A66='2b.  Complex Form Data Entry'!$G$21,'2b.  Complex Form Data Entry'!K$21,IF(A66='2b.  Complex Form Data Entry'!$G$22,'2b.  Complex Form Data Entry'!K$22,IF(A66='2b.  Complex Form Data Entry'!$G$23,'2b.  Complex Form Data Entry'!K$23,IF(A66='2b.  Complex Form Data Entry'!$G$24,'2b.  Complex Form Data Entry'!$K$24,IF(A66='2b.  Complex Form Data Entry'!G$25,'2b.  Complex Form Data Entry'!K$25,IF(A66='2b.  Complex Form Data Entry'!G$26,'2b.  Complex Form Data Entry'!K$26,"   ")))))))</f>
        <v xml:space="preserve">   </v>
      </c>
      <c r="F66" s="177" t="str">
        <f>IF(A66="   ","   ",IF(A66='2b.  Complex Form Data Entry'!$G$21,'2b.  Complex Form Data Entry'!L$21,IF(A66='2b.  Complex Form Data Entry'!$G$22,'2b.  Complex Form Data Entry'!L$22,IF(A66='2b.  Complex Form Data Entry'!$G$23,'2b.  Complex Form Data Entry'!L$23,IF(A66='2b.  Complex Form Data Entry'!$G$24,'2b.  Complex Form Data Entry'!$L$24,IF(A66='2b.  Complex Form Data Entry'!$G$25,'2b.  Complex Form Data Entry'!$L$25,IF(A66='2b.  Complex Form Data Entry'!$G$26,'2b.  Complex Form Data Entry'!$L$26,"   ")))))))</f>
        <v xml:space="preserve">   </v>
      </c>
      <c r="G66" s="79" t="str">
        <f>IF('2b.  Complex Form Data Entry'!I114="","   ",'2b.  Complex Form Data Entry'!I114)</f>
        <v xml:space="preserve"> </v>
      </c>
      <c r="H66" s="198"/>
      <c r="I66" s="48"/>
      <c r="J66" s="38"/>
      <c r="K66" s="38"/>
      <c r="L66" s="80">
        <f t="shared" si="12"/>
        <v>0</v>
      </c>
      <c r="M66" s="38"/>
      <c r="N66" s="38"/>
      <c r="O66" s="80">
        <f t="shared" si="13"/>
        <v>0</v>
      </c>
      <c r="P66" s="38"/>
      <c r="Q66" s="38"/>
      <c r="R66" s="80">
        <f t="shared" si="14"/>
        <v>0</v>
      </c>
      <c r="S66" s="39"/>
      <c r="T66" s="12"/>
    </row>
    <row r="67" spans="1:20" ht="13.5" customHeight="1" hidden="1">
      <c r="A67" s="19"/>
      <c r="B67" s="50" t="s">
        <v>21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2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3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4"/>
        <v>0</v>
      </c>
      <c r="S67" s="83">
        <f>'2b.  Complex Form Data Entry'!M116</f>
        <v>0</v>
      </c>
      <c r="T67" s="12"/>
    </row>
    <row r="68" spans="1:20" ht="13.5" customHeight="1" hidden="1">
      <c r="A68" s="19"/>
      <c r="B68" s="50" t="s">
        <v>25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2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3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4"/>
        <v>0</v>
      </c>
      <c r="S68" s="83">
        <f>'2b.  Complex Form Data Entry'!M117</f>
        <v>0</v>
      </c>
      <c r="T68" s="12"/>
    </row>
    <row r="69" spans="1:20" ht="13.5" customHeight="1" hidden="1">
      <c r="A69" s="19"/>
      <c r="B69" s="50" t="s">
        <v>53</v>
      </c>
      <c r="C69" s="2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2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3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4"/>
        <v>0</v>
      </c>
      <c r="S69" s="83">
        <f>'2b.  Complex Form Data Entry'!M118</f>
        <v>0</v>
      </c>
      <c r="T69" s="12"/>
    </row>
    <row r="70" spans="1:20" ht="13.5" customHeight="1" hidden="1">
      <c r="A70" s="19"/>
      <c r="B70" s="436" t="s">
        <v>55</v>
      </c>
      <c r="C70" s="43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2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3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4"/>
        <v>0</v>
      </c>
      <c r="S70" s="83">
        <f>'2b.  Complex Form Data Entry'!M119</f>
        <v>0</v>
      </c>
      <c r="T70" s="12"/>
    </row>
    <row r="71" spans="1:20" ht="13.5" hidden="1">
      <c r="A71" s="19"/>
      <c r="B71" s="423" t="s">
        <v>56</v>
      </c>
      <c r="C71" s="424"/>
      <c r="D71" s="45"/>
      <c r="E71" s="45"/>
      <c r="F71" s="45"/>
      <c r="G71" s="45"/>
      <c r="H71" s="352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2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3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4"/>
        <v>0</v>
      </c>
      <c r="S71" s="83">
        <f>'2b.  Complex Form Data Entry'!M120</f>
        <v>0</v>
      </c>
      <c r="T71" s="12"/>
    </row>
    <row r="72" spans="1:20" ht="13.5" customHeight="1" hidden="1">
      <c r="A72" s="19"/>
      <c r="B72" s="436" t="s">
        <v>57</v>
      </c>
      <c r="C72" s="437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2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3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4"/>
        <v>0</v>
      </c>
      <c r="S72" s="83">
        <f>'2b.  Complex Form Data Entry'!M121</f>
        <v>0</v>
      </c>
      <c r="T72" s="12"/>
    </row>
    <row r="73" spans="1:20" ht="13.5" customHeight="1" hidden="1">
      <c r="A73" s="19"/>
      <c r="B73" s="425" t="s">
        <v>26</v>
      </c>
      <c r="C73" s="426"/>
      <c r="D73" s="45"/>
      <c r="E73" s="45"/>
      <c r="F73" s="45"/>
      <c r="G73" s="45"/>
      <c r="H73" s="200" t="str">
        <f>IF('2b.  Complex Form Data Entry'!E122="","  ",'2b.  Complex Form Data Entry'!E122)</f>
        <v xml:space="preserve">  </v>
      </c>
      <c r="I73" s="81">
        <f>'2b.  Complex Form Data Entry'!N122</f>
        <v>0</v>
      </c>
      <c r="J73" s="81">
        <f>'2b.  Complex Form Data Entry'!G122</f>
        <v>0</v>
      </c>
      <c r="K73" s="81">
        <f>'2b.  Complex Form Data Entry'!H122</f>
        <v>0</v>
      </c>
      <c r="L73" s="80">
        <f t="shared" si="12"/>
        <v>0</v>
      </c>
      <c r="M73" s="81">
        <f>'2b.  Complex Form Data Entry'!I122</f>
        <v>0</v>
      </c>
      <c r="N73" s="81">
        <f>'2b.  Complex Form Data Entry'!J122</f>
        <v>0</v>
      </c>
      <c r="O73" s="80">
        <f t="shared" si="13"/>
        <v>0</v>
      </c>
      <c r="P73" s="81">
        <f>'2b.  Complex Form Data Entry'!K122</f>
        <v>0</v>
      </c>
      <c r="Q73" s="81">
        <f>'2b.  Complex Form Data Entry'!L122</f>
        <v>0</v>
      </c>
      <c r="R73" s="80">
        <f t="shared" si="14"/>
        <v>0</v>
      </c>
      <c r="S73" s="83">
        <f>'2b.  Complex Form Data Entry'!M122</f>
        <v>0</v>
      </c>
      <c r="T73" s="12"/>
    </row>
    <row r="74" spans="1:20" ht="13.5" hidden="1">
      <c r="A74" s="26"/>
      <c r="B74" s="27"/>
      <c r="C74" s="28" t="s">
        <v>12</v>
      </c>
      <c r="D74" s="29"/>
      <c r="E74" s="29"/>
      <c r="F74" s="29"/>
      <c r="G74" s="29"/>
      <c r="H74" s="201"/>
      <c r="I74" s="63">
        <f aca="true" t="shared" si="19" ref="I74:S74">SUM(I67:I73)</f>
        <v>0</v>
      </c>
      <c r="J74" s="63">
        <f t="shared" si="19"/>
        <v>0</v>
      </c>
      <c r="K74" s="63">
        <f t="shared" si="19"/>
        <v>0</v>
      </c>
      <c r="L74" s="63">
        <f t="shared" si="12"/>
        <v>0</v>
      </c>
      <c r="M74" s="63">
        <f t="shared" si="19"/>
        <v>0</v>
      </c>
      <c r="N74" s="63">
        <f t="shared" si="19"/>
        <v>0</v>
      </c>
      <c r="O74" s="63">
        <f t="shared" si="13"/>
        <v>0</v>
      </c>
      <c r="P74" s="63">
        <f aca="true" t="shared" si="20" ref="P74:Q74">SUM(P67:P73)</f>
        <v>0</v>
      </c>
      <c r="Q74" s="63">
        <f t="shared" si="20"/>
        <v>0</v>
      </c>
      <c r="R74" s="63">
        <f t="shared" si="14"/>
        <v>0</v>
      </c>
      <c r="S74" s="64">
        <f t="shared" si="19"/>
        <v>0</v>
      </c>
      <c r="T74" s="12"/>
    </row>
    <row r="75" spans="1:20" ht="3" customHeight="1" hidden="1">
      <c r="A75" s="57"/>
      <c r="B75" s="58"/>
      <c r="C75" s="2"/>
      <c r="D75" s="23"/>
      <c r="E75" s="23"/>
      <c r="F75" s="23"/>
      <c r="G75" s="23"/>
      <c r="H75" s="202"/>
      <c r="I75" s="59"/>
      <c r="J75" s="60"/>
      <c r="K75" s="60"/>
      <c r="L75" s="80">
        <f t="shared" si="12"/>
        <v>0</v>
      </c>
      <c r="M75" s="61"/>
      <c r="N75" s="60"/>
      <c r="O75" s="80">
        <f t="shared" si="13"/>
        <v>0</v>
      </c>
      <c r="P75" s="60"/>
      <c r="Q75" s="60"/>
      <c r="R75" s="80">
        <f t="shared" si="14"/>
        <v>0</v>
      </c>
      <c r="S75" s="62"/>
      <c r="T75" s="12"/>
    </row>
    <row r="76" spans="1:20" ht="13.5" hidden="1">
      <c r="A76" s="427" t="str">
        <f>IF('2b.  Complex Form Data Entry'!E125="","   ",'2b.  Complex Form Data Entry'!E125)</f>
        <v xml:space="preserve">   </v>
      </c>
      <c r="B76" s="428"/>
      <c r="C76" s="429"/>
      <c r="D76" s="177" t="str">
        <f>IF(A76="   ","   ",IF(A76='2b.  Complex Form Data Entry'!$G$21,'2b.  Complex Form Data Entry'!J$21,IF(A76='2b.  Complex Form Data Entry'!$G$22,'2b.  Complex Form Data Entry'!J$22,IF(A76='2b.  Complex Form Data Entry'!$G$23,'2b.  Complex Form Data Entry'!J$23,IF(A76='2b.  Complex Form Data Entry'!$G$24,'2b.  Complex Form Data Entry'!$J$24,IF(A76='2b.  Complex Form Data Entry'!$G$25,'2b.  Complex Form Data Entry'!J$25,IF(A76='2b.  Complex Form Data Entry'!$G$26,'2b.  Complex Form Data Entry'!J$26,"   ")))))))</f>
        <v xml:space="preserve">   </v>
      </c>
      <c r="E76" s="89" t="str">
        <f>IF(A76="   ","   ",IF(A76='2b.  Complex Form Data Entry'!$G$21,'2b.  Complex Form Data Entry'!K$21,IF(A76='2b.  Complex Form Data Entry'!$G$22,'2b.  Complex Form Data Entry'!K$22,IF(A76='2b.  Complex Form Data Entry'!$G$23,'2b.  Complex Form Data Entry'!K$23,IF(A76='2b.  Complex Form Data Entry'!$G$24,'2b.  Complex Form Data Entry'!$K$24,IF(A76='2b.  Complex Form Data Entry'!G$25,'2b.  Complex Form Data Entry'!K$25,IF(A76='2b.  Complex Form Data Entry'!G$26,'2b.  Complex Form Data Entry'!K$26,"   ")))))))</f>
        <v xml:space="preserve">   </v>
      </c>
      <c r="F76" s="177" t="str">
        <f>IF(A76="   ","   ",IF(A76='2b.  Complex Form Data Entry'!$G$21,'2b.  Complex Form Data Entry'!L$21,IF(A76='2b.  Complex Form Data Entry'!$G$22,'2b.  Complex Form Data Entry'!L$22,IF(A76='2b.  Complex Form Data Entry'!$G$23,'2b.  Complex Form Data Entry'!L$23,IF(A76='2b.  Complex Form Data Entry'!$G$24,'2b.  Complex Form Data Entry'!$L$24,IF(A76='2b.  Complex Form Data Entry'!$G$25,'2b.  Complex Form Data Entry'!$L$25,IF(A76='2b.  Complex Form Data Entry'!$G$26,'2b.  Complex Form Data Entry'!$L$26,"   ")))))))</f>
        <v xml:space="preserve">   </v>
      </c>
      <c r="G76" s="79" t="str">
        <f>IF('2b.  Complex Form Data Entry'!I125="","   ",'2b.  Complex Form Data Entry'!I125)</f>
        <v xml:space="preserve"> </v>
      </c>
      <c r="H76" s="198"/>
      <c r="I76" s="48"/>
      <c r="J76" s="38"/>
      <c r="K76" s="38"/>
      <c r="L76" s="80">
        <f t="shared" si="12"/>
        <v>0</v>
      </c>
      <c r="M76" s="38"/>
      <c r="N76" s="38"/>
      <c r="O76" s="80">
        <f t="shared" si="13"/>
        <v>0</v>
      </c>
      <c r="P76" s="38"/>
      <c r="Q76" s="38"/>
      <c r="R76" s="80">
        <f t="shared" si="14"/>
        <v>0</v>
      </c>
      <c r="S76" s="39"/>
      <c r="T76" s="12"/>
    </row>
    <row r="77" spans="1:20" ht="13.5" hidden="1">
      <c r="A77" s="19"/>
      <c r="B77" s="50" t="s">
        <v>21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2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3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4"/>
        <v>0</v>
      </c>
      <c r="S77" s="104">
        <f>'2b.  Complex Form Data Entry'!M127</f>
        <v>0</v>
      </c>
      <c r="T77" s="12"/>
    </row>
    <row r="78" spans="1:20" ht="13.5" hidden="1">
      <c r="A78" s="19"/>
      <c r="B78" s="50" t="s">
        <v>25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2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3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4"/>
        <v>0</v>
      </c>
      <c r="S78" s="104">
        <f>'2b.  Complex Form Data Entry'!M128</f>
        <v>0</v>
      </c>
      <c r="T78" s="12"/>
    </row>
    <row r="79" spans="1:20" ht="13.5" hidden="1">
      <c r="A79" s="19"/>
      <c r="B79" s="50" t="s">
        <v>53</v>
      </c>
      <c r="C79" s="2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2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3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4"/>
        <v>0</v>
      </c>
      <c r="S79" s="104">
        <f>'2b.  Complex Form Data Entry'!M129</f>
        <v>0</v>
      </c>
      <c r="T79" s="12"/>
    </row>
    <row r="80" spans="1:20" ht="13.5" hidden="1">
      <c r="A80" s="19"/>
      <c r="B80" s="436" t="s">
        <v>55</v>
      </c>
      <c r="C80" s="43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2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3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4"/>
        <v>0</v>
      </c>
      <c r="S80" s="104">
        <f>'2b.  Complex Form Data Entry'!M130</f>
        <v>0</v>
      </c>
      <c r="T80" s="12"/>
    </row>
    <row r="81" spans="1:20" ht="13.5" hidden="1">
      <c r="A81" s="19"/>
      <c r="B81" s="423" t="s">
        <v>56</v>
      </c>
      <c r="C81" s="42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2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3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4"/>
        <v>0</v>
      </c>
      <c r="S81" s="104">
        <f>'2b.  Complex Form Data Entry'!M131</f>
        <v>0</v>
      </c>
      <c r="T81" s="12"/>
    </row>
    <row r="82" spans="1:20" ht="13.5" hidden="1">
      <c r="A82" s="19"/>
      <c r="B82" s="436" t="s">
        <v>57</v>
      </c>
      <c r="C82" s="437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2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3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4"/>
        <v>0</v>
      </c>
      <c r="S82" s="104">
        <f>'2b.  Complex Form Data Entry'!M132</f>
        <v>0</v>
      </c>
      <c r="T82" s="12"/>
    </row>
    <row r="83" spans="1:20" ht="13.5" hidden="1">
      <c r="A83" s="19"/>
      <c r="B83" s="425" t="s">
        <v>26</v>
      </c>
      <c r="C83" s="426"/>
      <c r="D83" s="45"/>
      <c r="E83" s="45"/>
      <c r="F83" s="45"/>
      <c r="G83" s="45"/>
      <c r="H83" s="200" t="str">
        <f>IF('2b.  Complex Form Data Entry'!E133="","  ",'2b.  Complex Form Data Entry'!E133)</f>
        <v xml:space="preserve">  </v>
      </c>
      <c r="I83" s="81">
        <f>'2b.  Complex Form Data Entry'!N133</f>
        <v>0</v>
      </c>
      <c r="J83" s="81">
        <f>'2b.  Complex Form Data Entry'!G133</f>
        <v>0</v>
      </c>
      <c r="K83" s="81">
        <f>'2b.  Complex Form Data Entry'!H133</f>
        <v>0</v>
      </c>
      <c r="L83" s="80">
        <f t="shared" si="12"/>
        <v>0</v>
      </c>
      <c r="M83" s="81">
        <f>'2b.  Complex Form Data Entry'!I133</f>
        <v>0</v>
      </c>
      <c r="N83" s="81">
        <f>'2b.  Complex Form Data Entry'!J133</f>
        <v>0</v>
      </c>
      <c r="O83" s="80">
        <f t="shared" si="13"/>
        <v>0</v>
      </c>
      <c r="P83" s="81">
        <f>'2b.  Complex Form Data Entry'!K133</f>
        <v>0</v>
      </c>
      <c r="Q83" s="81">
        <f>'2b.  Complex Form Data Entry'!L133</f>
        <v>0</v>
      </c>
      <c r="R83" s="80">
        <f t="shared" si="14"/>
        <v>0</v>
      </c>
      <c r="S83" s="104">
        <f>'2b.  Complex Form Data Entry'!M133</f>
        <v>0</v>
      </c>
      <c r="T83" s="12"/>
    </row>
    <row r="84" spans="1:20" ht="13.5" hidden="1">
      <c r="A84" s="26"/>
      <c r="B84" s="27"/>
      <c r="C84" s="28" t="s">
        <v>12</v>
      </c>
      <c r="D84" s="29"/>
      <c r="E84" s="29"/>
      <c r="F84" s="29"/>
      <c r="G84" s="29"/>
      <c r="H84" s="201"/>
      <c r="I84" s="63">
        <f aca="true" t="shared" si="21" ref="I84:S84">SUM(I77:I83)</f>
        <v>0</v>
      </c>
      <c r="J84" s="63">
        <f t="shared" si="21"/>
        <v>0</v>
      </c>
      <c r="K84" s="63">
        <f t="shared" si="21"/>
        <v>0</v>
      </c>
      <c r="L84" s="63">
        <f t="shared" si="12"/>
        <v>0</v>
      </c>
      <c r="M84" s="63">
        <f t="shared" si="21"/>
        <v>0</v>
      </c>
      <c r="N84" s="63">
        <f t="shared" si="21"/>
        <v>0</v>
      </c>
      <c r="O84" s="63">
        <f t="shared" si="13"/>
        <v>0</v>
      </c>
      <c r="P84" s="63">
        <f aca="true" t="shared" si="22" ref="P84:Q84">SUM(P77:P83)</f>
        <v>0</v>
      </c>
      <c r="Q84" s="63">
        <f t="shared" si="22"/>
        <v>0</v>
      </c>
      <c r="R84" s="63">
        <f t="shared" si="14"/>
        <v>0</v>
      </c>
      <c r="S84" s="64">
        <f t="shared" si="21"/>
        <v>0</v>
      </c>
      <c r="T84" s="12"/>
    </row>
    <row r="85" spans="1:20" ht="3" customHeight="1" hidden="1">
      <c r="A85" s="57"/>
      <c r="B85" s="58"/>
      <c r="C85" s="2"/>
      <c r="D85" s="23"/>
      <c r="E85" s="23"/>
      <c r="F85" s="23"/>
      <c r="G85" s="23"/>
      <c r="H85" s="202"/>
      <c r="I85" s="59"/>
      <c r="J85" s="60"/>
      <c r="K85" s="60"/>
      <c r="L85" s="80">
        <f t="shared" si="12"/>
        <v>0</v>
      </c>
      <c r="M85" s="61"/>
      <c r="N85" s="60"/>
      <c r="O85" s="80">
        <f t="shared" si="13"/>
        <v>0</v>
      </c>
      <c r="P85" s="60"/>
      <c r="Q85" s="60"/>
      <c r="R85" s="80">
        <f t="shared" si="14"/>
        <v>0</v>
      </c>
      <c r="S85" s="62"/>
      <c r="T85" s="12"/>
    </row>
    <row r="86" spans="1:20" ht="13.5" hidden="1">
      <c r="A86" s="427" t="str">
        <f>IF('2b.  Complex Form Data Entry'!E136="","   ",'2b.  Complex Form Data Entry'!E136)</f>
        <v xml:space="preserve">   </v>
      </c>
      <c r="B86" s="428"/>
      <c r="C86" s="429"/>
      <c r="D86" s="177" t="str">
        <f>IF(A86="   ","   ",IF(A86='2b.  Complex Form Data Entry'!$G$21,'2b.  Complex Form Data Entry'!J$21,IF(A86='2b.  Complex Form Data Entry'!$G$22,'2b.  Complex Form Data Entry'!J$22,IF(A86='2b.  Complex Form Data Entry'!$G$23,'2b.  Complex Form Data Entry'!J$23,IF(A86='2b.  Complex Form Data Entry'!$G$24,'2b.  Complex Form Data Entry'!$J$24,IF(A86='2b.  Complex Form Data Entry'!$G$25,'2b.  Complex Form Data Entry'!J$25,IF(A86='2b.  Complex Form Data Entry'!$G$26,'2b.  Complex Form Data Entry'!J$26,"   ")))))))</f>
        <v xml:space="preserve">   </v>
      </c>
      <c r="E86" s="89" t="str">
        <f>IF(A86="   ","   ",IF(A86='2b.  Complex Form Data Entry'!$G$21,'2b.  Complex Form Data Entry'!K$21,IF(A86='2b.  Complex Form Data Entry'!$G$22,'2b.  Complex Form Data Entry'!K$22,IF(A86='2b.  Complex Form Data Entry'!$G$23,'2b.  Complex Form Data Entry'!K$23,IF(A86='2b.  Complex Form Data Entry'!$G$24,'2b.  Complex Form Data Entry'!$K$24,IF(A86='2b.  Complex Form Data Entry'!G$25,'2b.  Complex Form Data Entry'!K$25,IF(A86='2b.  Complex Form Data Entry'!G$26,'2b.  Complex Form Data Entry'!K$26,"   ")))))))</f>
        <v xml:space="preserve">   </v>
      </c>
      <c r="F86" s="177" t="str">
        <f>IF(A86="   ","   ",IF(A86='2b.  Complex Form Data Entry'!$G$21,'2b.  Complex Form Data Entry'!L$21,IF(A86='2b.  Complex Form Data Entry'!$G$22,'2b.  Complex Form Data Entry'!L$22,IF(A86='2b.  Complex Form Data Entry'!$G$23,'2b.  Complex Form Data Entry'!L$23,IF(A86='2b.  Complex Form Data Entry'!$G$24,'2b.  Complex Form Data Entry'!$L$24,IF(A86='2b.  Complex Form Data Entry'!$G$25,'2b.  Complex Form Data Entry'!$L$25,IF(A86='2b.  Complex Form Data Entry'!$G$26,'2b.  Complex Form Data Entry'!$L$26,"   ")))))))</f>
        <v xml:space="preserve">   </v>
      </c>
      <c r="G86" s="79" t="str">
        <f>IF('2b.  Complex Form Data Entry'!I136="","   ",'2b.  Complex Form Data Entry'!I136)</f>
        <v xml:space="preserve"> </v>
      </c>
      <c r="H86" s="198"/>
      <c r="I86" s="48"/>
      <c r="J86" s="38"/>
      <c r="K86" s="38"/>
      <c r="L86" s="80">
        <f t="shared" si="12"/>
        <v>0</v>
      </c>
      <c r="M86" s="38"/>
      <c r="N86" s="38"/>
      <c r="O86" s="80">
        <f t="shared" si="13"/>
        <v>0</v>
      </c>
      <c r="P86" s="38"/>
      <c r="Q86" s="38"/>
      <c r="R86" s="80">
        <f t="shared" si="14"/>
        <v>0</v>
      </c>
      <c r="S86" s="39"/>
      <c r="T86" s="12"/>
    </row>
    <row r="87" spans="1:20" ht="13.5" hidden="1">
      <c r="A87" s="19"/>
      <c r="B87" s="50" t="s">
        <v>21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2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3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4"/>
        <v>0</v>
      </c>
      <c r="S87" s="104">
        <f>'2b.  Complex Form Data Entry'!M138</f>
        <v>0</v>
      </c>
      <c r="T87" s="12"/>
    </row>
    <row r="88" spans="1:20" ht="13.5" hidden="1">
      <c r="A88" s="19"/>
      <c r="B88" s="50" t="s">
        <v>25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2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3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4"/>
        <v>0</v>
      </c>
      <c r="S88" s="104">
        <f>'2b.  Complex Form Data Entry'!M139</f>
        <v>0</v>
      </c>
      <c r="T88" s="12"/>
    </row>
    <row r="89" spans="1:20" ht="13.5" hidden="1">
      <c r="A89" s="19"/>
      <c r="B89" s="50" t="s">
        <v>53</v>
      </c>
      <c r="C89" s="2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2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3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4"/>
        <v>0</v>
      </c>
      <c r="S89" s="104">
        <f>'2b.  Complex Form Data Entry'!M140</f>
        <v>0</v>
      </c>
      <c r="T89" s="12"/>
    </row>
    <row r="90" spans="1:20" ht="13.5" hidden="1">
      <c r="A90" s="19"/>
      <c r="B90" s="436" t="s">
        <v>55</v>
      </c>
      <c r="C90" s="43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2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3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4"/>
        <v>0</v>
      </c>
      <c r="S90" s="104">
        <f>'2b.  Complex Form Data Entry'!M141</f>
        <v>0</v>
      </c>
      <c r="T90" s="12"/>
    </row>
    <row r="91" spans="1:20" ht="13.5" hidden="1">
      <c r="A91" s="19"/>
      <c r="B91" s="423" t="s">
        <v>56</v>
      </c>
      <c r="C91" s="42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2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3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4"/>
        <v>0</v>
      </c>
      <c r="S91" s="104">
        <f>'2b.  Complex Form Data Entry'!M142</f>
        <v>0</v>
      </c>
      <c r="T91" s="12"/>
    </row>
    <row r="92" spans="1:20" ht="13.5" hidden="1">
      <c r="A92" s="19"/>
      <c r="B92" s="436" t="s">
        <v>57</v>
      </c>
      <c r="C92" s="437"/>
      <c r="D92" s="45"/>
      <c r="E92" s="45"/>
      <c r="F92" s="45"/>
      <c r="G92" s="45"/>
      <c r="H92" s="200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2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3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4"/>
        <v>0</v>
      </c>
      <c r="S92" s="104">
        <f>'2b.  Complex Form Data Entry'!M143</f>
        <v>0</v>
      </c>
      <c r="T92" s="12"/>
    </row>
    <row r="93" spans="1:20" ht="13.5" hidden="1">
      <c r="A93" s="19"/>
      <c r="B93" s="425" t="s">
        <v>26</v>
      </c>
      <c r="C93" s="426"/>
      <c r="D93" s="45"/>
      <c r="E93" s="45"/>
      <c r="F93" s="45"/>
      <c r="G93" s="45"/>
      <c r="H93" s="203" t="str">
        <f>IF('2b.  Complex Form Data Entry'!E144="","  ",'2b.  Complex Form Data Entry'!E144)</f>
        <v xml:space="preserve">  </v>
      </c>
      <c r="I93" s="81">
        <f>'2b.  Complex Form Data Entry'!N144</f>
        <v>0</v>
      </c>
      <c r="J93" s="81">
        <f>'2b.  Complex Form Data Entry'!G144</f>
        <v>0</v>
      </c>
      <c r="K93" s="81">
        <f>'2b.  Complex Form Data Entry'!H144</f>
        <v>0</v>
      </c>
      <c r="L93" s="80">
        <f t="shared" si="12"/>
        <v>0</v>
      </c>
      <c r="M93" s="81">
        <f>'2b.  Complex Form Data Entry'!I144</f>
        <v>0</v>
      </c>
      <c r="N93" s="81">
        <f>'2b.  Complex Form Data Entry'!J144</f>
        <v>0</v>
      </c>
      <c r="O93" s="80">
        <f t="shared" si="13"/>
        <v>0</v>
      </c>
      <c r="P93" s="81">
        <f>'2b.  Complex Form Data Entry'!K144</f>
        <v>0</v>
      </c>
      <c r="Q93" s="81">
        <f>'2b.  Complex Form Data Entry'!L144</f>
        <v>0</v>
      </c>
      <c r="R93" s="80">
        <f t="shared" si="14"/>
        <v>0</v>
      </c>
      <c r="S93" s="104">
        <f>'2b.  Complex Form Data Entry'!M144</f>
        <v>0</v>
      </c>
      <c r="T93" s="12"/>
    </row>
    <row r="94" spans="1:20" ht="12.75" customHeight="1" hidden="1">
      <c r="A94" s="26"/>
      <c r="B94" s="27"/>
      <c r="C94" s="28" t="s">
        <v>12</v>
      </c>
      <c r="D94" s="29"/>
      <c r="E94" s="29"/>
      <c r="F94" s="29"/>
      <c r="G94" s="29"/>
      <c r="H94" s="204"/>
      <c r="I94" s="63">
        <f aca="true" t="shared" si="23" ref="I94:S94">SUM(I87:I93)</f>
        <v>0</v>
      </c>
      <c r="J94" s="63">
        <f t="shared" si="23"/>
        <v>0</v>
      </c>
      <c r="K94" s="63">
        <f t="shared" si="23"/>
        <v>0</v>
      </c>
      <c r="L94" s="63">
        <f t="shared" si="12"/>
        <v>0</v>
      </c>
      <c r="M94" s="63">
        <f t="shared" si="23"/>
        <v>0</v>
      </c>
      <c r="N94" s="63">
        <f t="shared" si="23"/>
        <v>0</v>
      </c>
      <c r="O94" s="63">
        <f t="shared" si="13"/>
        <v>0</v>
      </c>
      <c r="P94" s="63">
        <f aca="true" t="shared" si="24" ref="P94:Q94">SUM(P87:P93)</f>
        <v>0</v>
      </c>
      <c r="Q94" s="63">
        <f t="shared" si="24"/>
        <v>0</v>
      </c>
      <c r="R94" s="63">
        <f t="shared" si="14"/>
        <v>0</v>
      </c>
      <c r="S94" s="64">
        <f t="shared" si="23"/>
        <v>0</v>
      </c>
      <c r="T94" s="12"/>
    </row>
    <row r="95" spans="1:19" ht="3" customHeight="1">
      <c r="A95" s="30"/>
      <c r="B95" s="2"/>
      <c r="C95" s="2"/>
      <c r="D95" s="31"/>
      <c r="E95" s="31"/>
      <c r="F95" s="31"/>
      <c r="G95" s="32"/>
      <c r="H95" s="205"/>
      <c r="I95" s="33"/>
      <c r="J95" s="34"/>
      <c r="K95" s="34"/>
      <c r="L95" s="80">
        <f t="shared" si="12"/>
        <v>0</v>
      </c>
      <c r="M95" s="35"/>
      <c r="N95" s="34"/>
      <c r="O95" s="80">
        <f t="shared" si="13"/>
        <v>0</v>
      </c>
      <c r="P95" s="34"/>
      <c r="Q95" s="34"/>
      <c r="R95" s="80">
        <f t="shared" si="14"/>
        <v>0</v>
      </c>
      <c r="S95" s="36"/>
    </row>
    <row r="96" spans="1:20" ht="14.25" thickBot="1">
      <c r="A96" s="6"/>
      <c r="B96" s="7"/>
      <c r="C96" s="290" t="s">
        <v>6</v>
      </c>
      <c r="D96" s="8"/>
      <c r="E96" s="8"/>
      <c r="F96" s="8"/>
      <c r="G96" s="21"/>
      <c r="H96" s="206"/>
      <c r="I96" s="56">
        <f aca="true" t="shared" si="25" ref="I96:S96">I74+I64+I54+I44+I84+I94</f>
        <v>0</v>
      </c>
      <c r="J96" s="56">
        <f t="shared" si="25"/>
        <v>0</v>
      </c>
      <c r="K96" s="56">
        <f t="shared" si="25"/>
        <v>1533955.2</v>
      </c>
      <c r="L96" s="56">
        <f t="shared" si="12"/>
        <v>1533955.2</v>
      </c>
      <c r="M96" s="56">
        <f t="shared" si="25"/>
        <v>0</v>
      </c>
      <c r="N96" s="56">
        <f t="shared" si="25"/>
        <v>0</v>
      </c>
      <c r="O96" s="56">
        <f t="shared" si="13"/>
        <v>0</v>
      </c>
      <c r="P96" s="56">
        <f aca="true" t="shared" si="26" ref="P96:Q96">P74+P64+P54+P44+P84+P94</f>
        <v>0</v>
      </c>
      <c r="Q96" s="56">
        <f t="shared" si="26"/>
        <v>0</v>
      </c>
      <c r="R96" s="56">
        <f t="shared" si="14"/>
        <v>0</v>
      </c>
      <c r="S96" s="65">
        <f t="shared" si="25"/>
        <v>0</v>
      </c>
      <c r="T96" s="5"/>
    </row>
    <row r="97" spans="1:20" ht="3" customHeight="1" thickBot="1">
      <c r="A97" s="2"/>
      <c r="B97" s="2"/>
      <c r="C97" s="2"/>
      <c r="D97" s="2"/>
      <c r="E97" s="2"/>
      <c r="F97" s="2"/>
      <c r="G97" s="41"/>
      <c r="H97" s="41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5"/>
      <c r="T97" s="5"/>
    </row>
    <row r="98" spans="1:20" ht="18.75" hidden="1">
      <c r="A98" s="451" t="s">
        <v>133</v>
      </c>
      <c r="B98" s="451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1"/>
    </row>
    <row r="99" spans="1:20" ht="3" customHeight="1" hidden="1" thickBo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1"/>
      <c r="T99" s="1"/>
    </row>
    <row r="100" spans="1:20" ht="18" customHeight="1" hidden="1" thickBot="1" thickTop="1">
      <c r="A100" s="453" t="s">
        <v>31</v>
      </c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1"/>
    </row>
    <row r="101" spans="1:20" ht="3" customHeight="1" hidden="1" thickBot="1" thickTop="1">
      <c r="A101" s="438"/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1"/>
    </row>
    <row r="102" spans="1:19" ht="13.5" hidden="1">
      <c r="A102" s="448" t="s">
        <v>7</v>
      </c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7"/>
    </row>
    <row r="103" spans="1:20" ht="13.5" hidden="1">
      <c r="A103" s="444" t="s">
        <v>0</v>
      </c>
      <c r="B103" s="445"/>
      <c r="C103" s="443" t="str">
        <f>IF('2b.  Complex Form Data Entry'!G11="","   ",'2b.  Complex Form Data Entry'!G11)</f>
        <v xml:space="preserve">Sale of Northshore Public Health Center  </v>
      </c>
      <c r="D103" s="443"/>
      <c r="E103" s="443"/>
      <c r="F103" s="443"/>
      <c r="G103" s="443"/>
      <c r="H103" s="443"/>
      <c r="I103" s="443"/>
      <c r="J103" s="443"/>
      <c r="L103" s="293" t="s">
        <v>16</v>
      </c>
      <c r="M103" s="293"/>
      <c r="O103" s="72"/>
      <c r="Q103" s="72"/>
      <c r="R103" s="319" t="str">
        <f>IF('2b.  Complex Form Data Entry'!G118="","   ",'2b.  Complex Form Data Entry'!G118)</f>
        <v xml:space="preserve">   </v>
      </c>
      <c r="S103" s="71" t="s">
        <v>17</v>
      </c>
      <c r="T103" s="11"/>
    </row>
    <row r="104" spans="1:20" ht="13.5" customHeight="1" hidden="1">
      <c r="A104" s="449" t="s">
        <v>149</v>
      </c>
      <c r="B104" s="440"/>
      <c r="C104" s="450" t="str">
        <f>IF('2b.  Complex Form Data Entry'!G12="","   ",'2b.  Complex Form Data Entry'!G12)</f>
        <v>Public Health, FMD/Real Estate Services</v>
      </c>
      <c r="D104" s="450"/>
      <c r="E104" s="450"/>
      <c r="F104" s="450"/>
      <c r="G104" s="450"/>
      <c r="H104" s="450"/>
      <c r="I104" s="450"/>
      <c r="J104" s="450"/>
      <c r="L104" s="299" t="s">
        <v>27</v>
      </c>
      <c r="M104" s="299"/>
      <c r="P104" s="73"/>
      <c r="Q104" s="73"/>
      <c r="R104" s="320">
        <f>'2b.  Complex Form Data Entry'!G119</f>
        <v>0</v>
      </c>
      <c r="S104" s="54"/>
      <c r="T104" s="11"/>
    </row>
    <row r="105" spans="1:20" ht="13.5" customHeight="1" hidden="1">
      <c r="A105" s="441" t="s">
        <v>2</v>
      </c>
      <c r="B105" s="442"/>
      <c r="C105" s="298" t="str">
        <f>IF('2b.  Complex Form Data Entry'!G15="","   ",'2b.  Complex Form Data Entry'!G15)</f>
        <v>Carolyn Mock/Kate Donley</v>
      </c>
      <c r="E105" s="298"/>
      <c r="F105" s="442" t="s">
        <v>8</v>
      </c>
      <c r="G105" s="442"/>
      <c r="H105" s="329" t="str">
        <f>IF('2b.  Complex Form Data Entry'!G15=""," ",'2b.  Complex Form Data Entry'!G16)</f>
        <v>7/26/16</v>
      </c>
      <c r="I105" s="298"/>
      <c r="J105" s="298"/>
      <c r="L105" s="440" t="s">
        <v>10</v>
      </c>
      <c r="M105" s="440"/>
      <c r="N105" s="440"/>
      <c r="O105" s="440"/>
      <c r="P105" s="74"/>
      <c r="Q105" s="74"/>
      <c r="R105" s="298" t="str">
        <f>IF('2b.  Complex Form Data Entry'!G13="","   ",'2b.  Complex Form Data Entry'!G13)</f>
        <v>Sale</v>
      </c>
      <c r="S105" s="328"/>
      <c r="T105" s="11"/>
    </row>
    <row r="106" spans="1:20" ht="13.5" customHeight="1" hidden="1">
      <c r="A106" s="441" t="s">
        <v>3</v>
      </c>
      <c r="B106" s="442"/>
      <c r="C106" s="300"/>
      <c r="D106" s="298"/>
      <c r="E106" s="298"/>
      <c r="F106" s="442" t="s">
        <v>13</v>
      </c>
      <c r="G106" s="442"/>
      <c r="H106" s="298"/>
      <c r="I106" s="298"/>
      <c r="J106" s="298"/>
      <c r="L106" s="440" t="s">
        <v>9</v>
      </c>
      <c r="M106" s="440"/>
      <c r="N106" s="440"/>
      <c r="O106" s="440"/>
      <c r="P106" s="55"/>
      <c r="Q106" s="55"/>
      <c r="R106" s="298" t="str">
        <f>IF('2b.  Complex Form Data Entry'!G14="","   ",'2b.  Complex Form Data Entry'!G14)</f>
        <v>Stand Alone</v>
      </c>
      <c r="S106" s="328"/>
      <c r="T106" s="11"/>
    </row>
    <row r="107" spans="1:20" ht="12.75" hidden="1">
      <c r="A107" s="330" t="s">
        <v>148</v>
      </c>
      <c r="B107" s="331"/>
      <c r="C107" s="459" t="str">
        <f>IF('2b.  Complex Form Data Entry'!G10=""," ",'2b.  Complex Form Data Entry'!G10)</f>
        <v>Sale of Northshore Public Health Center at 10808 NE 145th St, Bothell</v>
      </c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60"/>
      <c r="T107" s="11"/>
    </row>
    <row r="108" spans="1:20" ht="13.5" hidden="1" thickBot="1">
      <c r="A108" s="332"/>
      <c r="B108" s="333"/>
      <c r="C108" s="461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2"/>
      <c r="T108" s="11"/>
    </row>
    <row r="109" spans="1:20" ht="18.75" customHeight="1" thickBot="1" thickTop="1">
      <c r="A109" s="452" t="s">
        <v>15</v>
      </c>
      <c r="B109" s="452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5"/>
    </row>
    <row r="110" spans="1:20" ht="3" customHeight="1" thickTop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5"/>
      <c r="T110" s="5"/>
    </row>
    <row r="111" spans="1:20" ht="15.75">
      <c r="A111" s="37" t="s">
        <v>128</v>
      </c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3" customHeight="1" thickBot="1">
      <c r="A112" s="2"/>
      <c r="B112" s="2"/>
      <c r="C112" s="2"/>
      <c r="D112" s="2"/>
      <c r="E112" s="2"/>
      <c r="F112" s="2"/>
      <c r="G112" s="41"/>
      <c r="H112" s="41"/>
      <c r="I112" s="41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ht="15" customHeight="1">
      <c r="A113" s="430" t="s">
        <v>18</v>
      </c>
      <c r="B113" s="431"/>
      <c r="C113" s="432"/>
      <c r="D113" s="465" t="s">
        <v>19</v>
      </c>
      <c r="E113" s="465" t="s">
        <v>5</v>
      </c>
      <c r="F113" s="487" t="s">
        <v>104</v>
      </c>
      <c r="G113" s="465" t="s">
        <v>11</v>
      </c>
      <c r="H113" s="478" t="s">
        <v>23</v>
      </c>
      <c r="I113" s="315"/>
      <c r="J113" s="190">
        <f>'2b.  Complex Form Data Entry'!G19</f>
        <v>2015</v>
      </c>
      <c r="K113" s="286">
        <f>'2b.  Complex Form Data Entry'!H156</f>
        <v>2016</v>
      </c>
      <c r="L113" s="489" t="str">
        <f>CONCATENATE(L34," Appropriation Change")</f>
        <v>2015 / 2016 Appropriation Change</v>
      </c>
      <c r="O113" s="303"/>
      <c r="P113" s="303"/>
      <c r="Q113" s="303"/>
      <c r="R113" s="471" t="s">
        <v>136</v>
      </c>
      <c r="S113" s="472"/>
      <c r="T113" s="42"/>
    </row>
    <row r="114" spans="1:20" ht="37.5" customHeight="1" thickBot="1">
      <c r="A114" s="433"/>
      <c r="B114" s="434"/>
      <c r="C114" s="435"/>
      <c r="D114" s="466"/>
      <c r="E114" s="466"/>
      <c r="F114" s="488"/>
      <c r="G114" s="466"/>
      <c r="H114" s="479"/>
      <c r="I114" s="316"/>
      <c r="J114" s="191" t="s">
        <v>24</v>
      </c>
      <c r="K114" s="287" t="str">
        <f>'2b.  Complex Form Data Entry'!H157</f>
        <v>Allocation Change</v>
      </c>
      <c r="L114" s="490"/>
      <c r="O114" s="303"/>
      <c r="P114" s="303"/>
      <c r="Q114" s="303"/>
      <c r="R114" s="473"/>
      <c r="S114" s="474"/>
      <c r="T114" s="42"/>
    </row>
    <row r="115" spans="1:20" ht="47.25" customHeight="1">
      <c r="A115" s="99" t="str">
        <f>IF('2b.  Complex Form Data Entry'!C158="","   ",'2b.  Complex Form Data Entry'!C158)</f>
        <v xml:space="preserve">   </v>
      </c>
      <c r="B115" s="78"/>
      <c r="C115" s="78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197" t="str">
        <f>IF('2b.  Complex Form Data Entry'!F152="Y","The transaction was anticipated in the current budget; no supplemental appropriation is required.",IF(A115="","",IF('2b.  Complex Form Data Entry'!F153="Y","The cost of the transaction can be accommodated within existing appropriation authority; no supplemental appropriation is required",'2b.  Complex Form Data Entry'!E158)))</f>
        <v>The transaction was anticipated in the current budget; no supplemental appropriation is required.</v>
      </c>
      <c r="I115" s="317"/>
      <c r="J115" s="100">
        <f>'2b.  Complex Form Data Entry'!G158</f>
        <v>0</v>
      </c>
      <c r="K115" s="100">
        <f>'2b.  Complex Form Data Entry'!H158</f>
        <v>0</v>
      </c>
      <c r="L115" s="311">
        <f>J115+K115</f>
        <v>0</v>
      </c>
      <c r="O115" s="304"/>
      <c r="P115" s="304"/>
      <c r="Q115" s="304"/>
      <c r="R115" s="507">
        <f>'2b.  Complex Form Data Entry'!J158</f>
        <v>0</v>
      </c>
      <c r="S115" s="508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aca="true" t="shared" si="27" ref="L116:L121">J116+K116</f>
        <v>0</v>
      </c>
      <c r="O116" s="304"/>
      <c r="P116" s="304"/>
      <c r="Q116" s="304"/>
      <c r="R116" s="507">
        <f>'2b.  Complex Form Data Entry'!J159</f>
        <v>0</v>
      </c>
      <c r="S116" s="508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7"/>
        <v>0</v>
      </c>
      <c r="O117" s="304"/>
      <c r="P117" s="304"/>
      <c r="Q117" s="304"/>
      <c r="R117" s="507">
        <f>'2b.  Complex Form Data Entry'!J160</f>
        <v>0</v>
      </c>
      <c r="S117" s="508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7"/>
        <v>0</v>
      </c>
      <c r="O118" s="304"/>
      <c r="P118" s="304"/>
      <c r="Q118" s="304"/>
      <c r="R118" s="507">
        <f>'2b.  Complex Form Data Entry'!J161</f>
        <v>0</v>
      </c>
      <c r="S118" s="508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7"/>
        <v>0</v>
      </c>
      <c r="O119" s="304"/>
      <c r="P119" s="304"/>
      <c r="Q119" s="304"/>
      <c r="R119" s="507">
        <f>'2b.  Complex Form Data Entry'!J162</f>
        <v>0</v>
      </c>
      <c r="S119" s="508"/>
      <c r="T119" s="42"/>
    </row>
    <row r="120" spans="1:20" ht="13.5">
      <c r="A120" s="99" t="str">
        <f>IF('2b.  Complex Form Data Entry'!C163="","   ",'2b.  Complex Form Data Entry'!C163)</f>
        <v xml:space="preserve">   </v>
      </c>
      <c r="B120" s="75"/>
      <c r="C120" s="75"/>
      <c r="D120" s="177" t="str">
        <f>IF(A120="   ","   ",IF(A120='2b.  Complex Form Data Entry'!$G$21,'2b.  Complex Form Data Entry'!J$21,IF(A120='2b.  Complex Form Data Entry'!$G$22,'2b.  Complex Form Data Entry'!J$22,IF(A120='2b.  Complex Form Data Entry'!$G$23,'2b.  Complex Form Data Entry'!J$23,IF(A120='2b.  Complex Form Data Entry'!$G$24,'2b.  Complex Form Data Entry'!$J$24,IF(A120='2b.  Complex Form Data Entry'!$G$25,'2b.  Complex Form Data Entry'!J$25,IF(A120='2b.  Complex Form Data Entry'!$G$26,'2b.  Complex Form Data Entry'!J$26,"   ")))))))</f>
        <v xml:space="preserve">   </v>
      </c>
      <c r="E120" s="89" t="str">
        <f>IF(A120="   ","   ",IF(A120='2b.  Complex Form Data Entry'!$G$21,'2b.  Complex Form Data Entry'!K$21,IF(A120='2b.  Complex Form Data Entry'!$G$22,'2b.  Complex Form Data Entry'!K$22,IF(A120='2b.  Complex Form Data Entry'!$G$23,'2b.  Complex Form Data Entry'!K$23,IF(A120='2b.  Complex Form Data Entry'!$G$24,'2b.  Complex Form Data Entry'!$K$24,IF(A120='2b.  Complex Form Data Entry'!G$25,'2b.  Complex Form Data Entry'!K$25,IF(A120='2b.  Complex Form Data Entry'!G$26,'2b.  Complex Form Data Entry'!K$26,"   ")))))))</f>
        <v xml:space="preserve">   </v>
      </c>
      <c r="F120" s="177" t="str">
        <f>IF(A120="   ","   ",IF(A120='2b.  Complex Form Data Entry'!$G$21,'2b.  Complex Form Data Entry'!L$21,IF(A120='2b.  Complex Form Data Entry'!$G$22,'2b.  Complex Form Data Entry'!L$22,IF(A120='2b.  Complex Form Data Entry'!$G$23,'2b.  Complex Form Data Entry'!L$23,IF(A120='2b.  Complex Form Data Entry'!$G$24,'2b.  Complex Form Data Entry'!$L$24,IF(A120='2b.  Complex Form Data Entry'!G$25,'2b.  Complex Form Data Entry'!L$25,IF(A120='2b.  Complex Form Data Entry'!G$26,'2b.  Complex Form Data Entry'!L$26,"   ")))))))</f>
        <v xml:space="preserve">   </v>
      </c>
      <c r="G120" s="90" t="str">
        <f>IF('2b.  Complex Form Data Entry'!C163="","   ",'2b.  Complex Form Data Entry'!D163)</f>
        <v xml:space="preserve">   </v>
      </c>
      <c r="H120" s="200" t="str">
        <f>IF('2b.  Complex Form Data Entry'!E163=0,"  ",'2b.  Complex Form Data Entry'!E163)</f>
        <v xml:space="preserve">  </v>
      </c>
      <c r="I120" s="317"/>
      <c r="J120" s="82">
        <f>'2b.  Complex Form Data Entry'!G163</f>
        <v>0</v>
      </c>
      <c r="K120" s="82">
        <f>'2b.  Complex Form Data Entry'!H163</f>
        <v>0</v>
      </c>
      <c r="L120" s="311">
        <f t="shared" si="27"/>
        <v>0</v>
      </c>
      <c r="O120" s="304"/>
      <c r="P120" s="304"/>
      <c r="Q120" s="304"/>
      <c r="R120" s="507">
        <f>'2b.  Complex Form Data Entry'!J163</f>
        <v>0</v>
      </c>
      <c r="S120" s="508"/>
      <c r="T120" s="42"/>
    </row>
    <row r="121" spans="1:20" ht="14.25" thickBot="1">
      <c r="A121" s="6"/>
      <c r="B121" s="7"/>
      <c r="C121" s="291" t="s">
        <v>4</v>
      </c>
      <c r="D121" s="43"/>
      <c r="E121" s="43"/>
      <c r="F121" s="43"/>
      <c r="G121" s="43"/>
      <c r="H121" s="207"/>
      <c r="I121" s="318"/>
      <c r="J121" s="66">
        <f>SUM(J115:J120)</f>
        <v>0</v>
      </c>
      <c r="K121" s="66">
        <f>SUM(K115:K120)</f>
        <v>0</v>
      </c>
      <c r="L121" s="312">
        <f t="shared" si="27"/>
        <v>0</v>
      </c>
      <c r="O121" s="305"/>
      <c r="P121" s="305"/>
      <c r="Q121" s="305"/>
      <c r="R121" s="509">
        <f>SUM(R115:S120)</f>
        <v>0</v>
      </c>
      <c r="S121" s="510"/>
      <c r="T121" s="42"/>
    </row>
    <row r="122" spans="1:20" ht="3" customHeight="1">
      <c r="A122" s="2"/>
      <c r="B122" s="2"/>
      <c r="C122" s="2"/>
      <c r="D122" s="2"/>
      <c r="E122" s="2"/>
      <c r="F122" s="2"/>
      <c r="G122" s="41"/>
      <c r="H122" s="41"/>
      <c r="I122" s="41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 ht="13.5">
      <c r="A123" s="3" t="s">
        <v>30</v>
      </c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5"/>
      <c r="T123" s="5"/>
    </row>
    <row r="124" spans="1:20" ht="19.5" customHeight="1">
      <c r="A124" s="321" t="s">
        <v>139</v>
      </c>
      <c r="B124" s="480" t="str">
        <f>IF('2b.  Complex Form Data Entry'!G39="Y","See note 5 below.",'2b.  Complex Form Data Entry'!D43)</f>
        <v>An NPV analysis was not performed because this transaction is a sale with no viable cost/benefit alternatives.</v>
      </c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5"/>
    </row>
    <row r="125" spans="1:20" ht="13.5">
      <c r="A125" s="68" t="s">
        <v>112</v>
      </c>
      <c r="B125" s="475" t="s">
        <v>147</v>
      </c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5"/>
    </row>
    <row r="126" spans="1:20" ht="14.25" customHeight="1">
      <c r="A126" s="69" t="s">
        <v>52</v>
      </c>
      <c r="B126" s="506" t="s">
        <v>116</v>
      </c>
      <c r="C126" s="506"/>
      <c r="D126" s="506"/>
      <c r="E126" s="506"/>
      <c r="F126" s="506"/>
      <c r="G126" s="506"/>
      <c r="H126" s="506"/>
      <c r="I126" s="506"/>
      <c r="J126" s="506"/>
      <c r="K126" s="506"/>
      <c r="L126" s="506"/>
      <c r="M126" s="506"/>
      <c r="N126" s="506"/>
      <c r="O126" s="506"/>
      <c r="P126" s="506"/>
      <c r="Q126" s="506"/>
      <c r="R126" s="506"/>
      <c r="S126" s="506"/>
      <c r="T126" s="5"/>
    </row>
    <row r="127" spans="1:20" ht="16.5" customHeight="1">
      <c r="A127" s="69" t="s">
        <v>113</v>
      </c>
      <c r="B127" s="477" t="str">
        <f>IF(OR('2b.  Complex Form Data Entry'!D52="Y",'2b.  Complex Form Data Entry'!D54="Y"),CONCATENATE('2b.  Complex Form Data Entry'!E206,'2b.  Complex Form Data Entry'!E207),"This transaction does not require the use of fund balance or reallocated grant funding.")</f>
        <v>This transaction does not require the use of fund balance or reallocated grant funding.</v>
      </c>
      <c r="C127" s="477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7"/>
      <c r="P127" s="477"/>
      <c r="Q127" s="477"/>
      <c r="R127" s="477"/>
      <c r="S127" s="477"/>
      <c r="T127" s="5"/>
    </row>
    <row r="128" spans="1:20" ht="14.25" customHeight="1">
      <c r="A128" s="67" t="s">
        <v>114</v>
      </c>
      <c r="B128" s="464" t="str">
        <f>IF('2b.  Complex Form Data Entry'!F167="Y",'2b.  Complex Form Data Entry'!C197,CONCATENATE('2b.  Complex Form Data Entry'!C198,'2b.  Complex Form Data Entry'!C199,'2b.  Complex Form Data Entry'!C200,'2b.  Complex Form Data Entry'!C201,'2b.  Complex Form Data Entry'!C202))</f>
        <v>The transaction involves the sale of a property and the expenditures associated with this sale are limited to transaction costs.  No long-term expenditures requiring resource backing are associated with this transaction.</v>
      </c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  <c r="T128" s="5"/>
    </row>
    <row r="129" spans="1:20" ht="16.5" customHeight="1">
      <c r="A129" s="67" t="s">
        <v>118</v>
      </c>
      <c r="B129" s="463" t="s">
        <v>111</v>
      </c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5"/>
    </row>
    <row r="130" spans="1:19" ht="14.25" customHeight="1">
      <c r="A130" s="67"/>
      <c r="B130" s="481" t="str">
        <f>'2b.  Complex Form Data Entry'!C175</f>
        <v>-  Leaseback agreement effective if Public Health has not vacated by time sale closes (3 months with two 3 month options to extend).  If Public Health relocates before closing the leaseback agreement will not be executed.</v>
      </c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</row>
    <row r="131" spans="1:19" ht="30" customHeight="1">
      <c r="A131" s="67"/>
      <c r="B131" s="481" t="str">
        <f>'2b.  Complex Form Data Entry'!C176</f>
        <v>-  Tenant Improvements for new leased space at Evergreen Medical Center = $1,087,846 less Allowance of $232,160, cost to KC = $855,686.  Appropriation request for Building Repair &amp; Replacement Fund under separate ordinance.</v>
      </c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</row>
    <row r="132" spans="1:19" ht="12.75" customHeight="1">
      <c r="A132" s="67"/>
      <c r="B132" s="481" t="str">
        <f>'2b.  Complex Form Data Entry'!C177</f>
        <v>-  Building Repair &amp; Replacement Fund to be replenished from sale proceeds for TI costs for new leased space at Evergreen Medical Center</v>
      </c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</row>
    <row r="133" spans="1:19" ht="15" customHeight="1">
      <c r="A133" s="67"/>
      <c r="B133" s="481" t="str">
        <f>'2b.  Complex Form Data Entry'!C178</f>
        <v>-  HVAC system replacement to be handled by Buyer using $132,500 held back in escrow from King County's net proceeds</v>
      </c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</row>
    <row r="134" spans="1:20" ht="13.5">
      <c r="A134" s="67"/>
      <c r="B134" s="481" t="str">
        <f>'2b.  Complex Form Data Entry'!C179</f>
        <v xml:space="preserve">-  Per KCC 4.56.130, on transactions with gross sale proceeds of $250,000 or greater that are to accrue to the current expense fund, 10% of gross sale proceeds are to be deposited in the Arts &amp; Cultural Development Fund.  </v>
      </c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5"/>
    </row>
    <row r="135" spans="1:19" ht="13.5">
      <c r="A135" s="67"/>
      <c r="B135" s="505" t="s">
        <v>207</v>
      </c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</row>
    <row r="136" spans="1:19" ht="13.5">
      <c r="A136" t="str">
        <f>IF('2b.  Complex Form Data Entry'!C182=""," ","6.")</f>
        <v xml:space="preserve"> </v>
      </c>
      <c r="B136" s="505" t="s">
        <v>184</v>
      </c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</row>
    <row r="137" spans="1:19" ht="13.5">
      <c r="A137" s="69"/>
      <c r="B137" s="505" t="s">
        <v>196</v>
      </c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</row>
    <row r="138" spans="1:19" ht="13.5">
      <c r="A138" s="69"/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</row>
    <row r="139" spans="1:6" ht="13.5">
      <c r="A139" s="69"/>
      <c r="D139" s="53"/>
      <c r="E139" s="49"/>
      <c r="F139" s="49"/>
    </row>
    <row r="140" spans="4:6" ht="12.75">
      <c r="D140" s="53"/>
      <c r="E140" s="49"/>
      <c r="F140" s="49"/>
    </row>
    <row r="141" spans="3:6" ht="12.75">
      <c r="C141" s="52"/>
      <c r="D141" s="53"/>
      <c r="E141" s="49"/>
      <c r="F141" s="49"/>
    </row>
  </sheetData>
  <mergeCells count="101">
    <mergeCell ref="B127:S127"/>
    <mergeCell ref="B124:S124"/>
    <mergeCell ref="O17:S17"/>
    <mergeCell ref="L113:L114"/>
    <mergeCell ref="R113:S114"/>
    <mergeCell ref="B125:S125"/>
    <mergeCell ref="B126:S126"/>
    <mergeCell ref="R120:S120"/>
    <mergeCell ref="R121:S121"/>
    <mergeCell ref="R115:S115"/>
    <mergeCell ref="R116:S116"/>
    <mergeCell ref="R117:S117"/>
    <mergeCell ref="R118:S118"/>
    <mergeCell ref="R119:S119"/>
    <mergeCell ref="B93:C93"/>
    <mergeCell ref="A109:S109"/>
    <mergeCell ref="A35:C35"/>
    <mergeCell ref="A46:C46"/>
    <mergeCell ref="A56:C56"/>
    <mergeCell ref="A66:C66"/>
    <mergeCell ref="A76:C76"/>
    <mergeCell ref="B53:C53"/>
    <mergeCell ref="B60:C60"/>
    <mergeCell ref="B61:C61"/>
    <mergeCell ref="B138:S138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37:S137"/>
    <mergeCell ref="H113:H114"/>
    <mergeCell ref="A98:S98"/>
    <mergeCell ref="A100:S100"/>
    <mergeCell ref="A101:S101"/>
    <mergeCell ref="A113:C114"/>
    <mergeCell ref="D113:D114"/>
    <mergeCell ref="E113:E114"/>
    <mergeCell ref="F113:F114"/>
    <mergeCell ref="G113:G114"/>
    <mergeCell ref="C107:S108"/>
    <mergeCell ref="A105:B105"/>
    <mergeCell ref="F105:G105"/>
    <mergeCell ref="L105:O105"/>
    <mergeCell ref="A106:B106"/>
    <mergeCell ref="F106:G106"/>
    <mergeCell ref="L106:O106"/>
    <mergeCell ref="A104:B104"/>
    <mergeCell ref="C104:J104"/>
    <mergeCell ref="A103:B103"/>
    <mergeCell ref="C103:J103"/>
    <mergeCell ref="A1:S1"/>
    <mergeCell ref="A3:S3"/>
    <mergeCell ref="A4:S4"/>
    <mergeCell ref="A5:B5"/>
    <mergeCell ref="C5:S5"/>
    <mergeCell ref="B92:C92"/>
    <mergeCell ref="B63:C63"/>
    <mergeCell ref="B70:C70"/>
    <mergeCell ref="B71:C71"/>
    <mergeCell ref="B72:C72"/>
    <mergeCell ref="B73:C73"/>
    <mergeCell ref="B80:C80"/>
    <mergeCell ref="B81:C81"/>
    <mergeCell ref="B82:C82"/>
    <mergeCell ref="B83:C83"/>
    <mergeCell ref="B90:C90"/>
    <mergeCell ref="B91:C91"/>
    <mergeCell ref="A86:C86"/>
    <mergeCell ref="B62:C62"/>
    <mergeCell ref="B43:C43"/>
    <mergeCell ref="A6:B6"/>
    <mergeCell ref="C6:J6"/>
    <mergeCell ref="A13:S13"/>
    <mergeCell ref="A15:S15"/>
    <mergeCell ref="C7:J7"/>
    <mergeCell ref="A7:B7"/>
    <mergeCell ref="A102:B102"/>
    <mergeCell ref="C102:S102"/>
    <mergeCell ref="A19:S19"/>
    <mergeCell ref="B39:C39"/>
    <mergeCell ref="B40:C40"/>
    <mergeCell ref="B41:C41"/>
    <mergeCell ref="B42:C42"/>
    <mergeCell ref="B50:C50"/>
    <mergeCell ref="B51:C51"/>
    <mergeCell ref="B52:C52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</mergeCells>
  <printOptions horizontalCentered="1"/>
  <pageMargins left="0.5" right="0.5" top="0.5" bottom="0.5" header="0.5" footer="0.25"/>
  <pageSetup fitToHeight="2" horizontalDpi="600" verticalDpi="600" orientation="landscape" scale="60" copies="2" r:id="rId1"/>
  <headerFooter alignWithMargins="0">
    <oddFooter>&amp;CPage &amp;P</oddFooter>
  </headerFooter>
  <rowBreaks count="1" manualBreakCount="1">
    <brk id="9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FEC08BF0467C843A2BD7D49334C7C66" ma:contentTypeVersion="10" ma:contentTypeDescription="" ma:contentTypeScope="" ma:versionID="196d4feb04c561bd390ef1e8e05318b5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targetNamespace="http://schemas.microsoft.com/office/2006/metadata/properties" ma:root="true" ma:fieldsID="7cfd6f0f56caf459718511aea39e0a70" ns1:_="" ns2:_="" ns3:_="">
    <xsd:import namespace="http://schemas.microsoft.com/sharepoint/v3"/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dcmitype/"/>
    <ds:schemaRef ds:uri="cc811197-5a73-4d86-a206-c117da05ddaa"/>
    <ds:schemaRef ds:uri="http://purl.org/dc/terms/"/>
    <ds:schemaRef ds:uri="http://schemas.microsoft.com/office/infopath/2007/PartnerControls"/>
    <ds:schemaRef ds:uri="http://schemas.microsoft.com/sharepoint/v3"/>
    <ds:schemaRef ds:uri="http://purl.org/dc/elements/1.1/"/>
    <ds:schemaRef ds:uri="http://schemas.openxmlformats.org/package/2006/metadata/core-properties"/>
    <ds:schemaRef ds:uri="308dc21f-8940-46b7-9ee9-f86b439897b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1C8985F-A545-48A1-AB75-FD23ABCFA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2016-08-16T16:19:14Z</cp:lastPrinted>
  <dcterms:created xsi:type="dcterms:W3CDTF">1999-06-02T23:29:55Z</dcterms:created>
  <dcterms:modified xsi:type="dcterms:W3CDTF">2016-08-16T18:00:16Z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0x010100D03C1FEDB24A304B88B22491CFC09769008FEC08BF0467C843A2BD7D49334C7C66</vt:lpwstr>
  </property>
  <property fmtid="{D5CDD505-2E9C-101B-9397-08002B2CF9AE}" pid="4" name="_dlc_DocIdItemGuid">
    <vt:lpwstr>73dfe863-728a-43b2-82c9-eb3aceef41e5</vt:lpwstr>
  </property>
</Properties>
</file>