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David L Template" sheetId="1" r:id="rId1"/>
    <sheet name="financing " sheetId="2" r:id="rId2"/>
    <sheet name="WR unit cost detail" sheetId="3" r:id="rId3"/>
    <sheet name="Issuance and KC costs" sheetId="4" r:id="rId4"/>
    <sheet name="total cost template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'financing '!$A$48:$K$94</definedName>
    <definedName name="_xlnm.Print_Area" localSheetId="3">'Issuance and KC costs'!$A$1:$E$46</definedName>
    <definedName name="_xlnm.Print_Area" localSheetId="4">'total cost template'!$B$13:$Z$102</definedName>
    <definedName name="_xlnm.Print_Area" localSheetId="2">'WR unit cost detail'!$A$1:$J$59</definedName>
  </definedNames>
  <calcPr fullCalcOnLoad="1"/>
</workbook>
</file>

<file path=xl/comments5.xml><?xml version="1.0" encoding="utf-8"?>
<comments xmlns="http://schemas.openxmlformats.org/spreadsheetml/2006/main">
  <authors>
    <author>williamro</author>
  </authors>
  <commentList>
    <comment ref="N13" authorId="0">
      <text>
        <r>
          <rPr>
            <b/>
            <sz val="8"/>
            <rFont val="Tahoma"/>
            <family val="0"/>
          </rPr>
          <t>williamro:</t>
        </r>
        <r>
          <rPr>
            <sz val="8"/>
            <rFont val="Tahoma"/>
            <family val="0"/>
          </rPr>
          <t xml:space="preserve">
Preugie revision from 297 to 288 to reflect standard 
rsf definition</t>
        </r>
      </text>
    </comment>
    <comment ref="P13" authorId="0">
      <text>
        <r>
          <rPr>
            <b/>
            <sz val="8"/>
            <rFont val="Tahoma"/>
            <family val="0"/>
          </rPr>
          <t>williamro:</t>
        </r>
        <r>
          <rPr>
            <sz val="8"/>
            <rFont val="Tahoma"/>
            <family val="0"/>
          </rPr>
          <t xml:space="preserve">
Preugie revision from 297 to 288 to reflect standard 
rsf definition</t>
        </r>
      </text>
    </comment>
    <comment ref="W13" authorId="0">
      <text>
        <r>
          <rPr>
            <b/>
            <sz val="8"/>
            <rFont val="Tahoma"/>
            <family val="0"/>
          </rPr>
          <t>williamro:</t>
        </r>
        <r>
          <rPr>
            <sz val="8"/>
            <rFont val="Tahoma"/>
            <family val="0"/>
          </rPr>
          <t xml:space="preserve">
Preugie revision from 297 to 288 to reflect standard 
rsf definition</t>
        </r>
      </text>
    </comment>
  </commentList>
</comments>
</file>

<file path=xl/sharedStrings.xml><?xml version="1.0" encoding="utf-8"?>
<sst xmlns="http://schemas.openxmlformats.org/spreadsheetml/2006/main" count="682" uniqueCount="564">
  <si>
    <t>Existing</t>
  </si>
  <si>
    <t>Followup</t>
  </si>
  <si>
    <t>Rate necessary to balance in 2007</t>
  </si>
  <si>
    <t>Current Alt1</t>
  </si>
  <si>
    <t>GH</t>
  </si>
  <si>
    <t>total Parking</t>
  </si>
  <si>
    <t>Office</t>
  </si>
  <si>
    <t>CX (2004 $'s-esc 3% /year</t>
  </si>
  <si>
    <t>HS</t>
  </si>
  <si>
    <t>Expenses</t>
  </si>
  <si>
    <t>Subsidy  KC-KC  vs market</t>
  </si>
  <si>
    <t>Market Rate (2004)</t>
  </si>
  <si>
    <t>of City of Seattle</t>
  </si>
  <si>
    <t>Estimated GH Capital Cost</t>
  </si>
  <si>
    <t>Overbooking rate</t>
  </si>
  <si>
    <t>Project Cost (NPV of allocated lease payments)</t>
  </si>
  <si>
    <t>Expense addition factor to WR</t>
  </si>
  <si>
    <t>Annual DS 2007</t>
  </si>
  <si>
    <t>Parking Revenues for ds</t>
  </si>
  <si>
    <t>1st year deficit</t>
  </si>
  <si>
    <t>(essentially break-even)</t>
  </si>
  <si>
    <t>Average Net per month (2007)</t>
  </si>
  <si>
    <t>Denominated in 2004 $</t>
  </si>
  <si>
    <t>GH (2004)-surface lot</t>
  </si>
  <si>
    <t>Auto (2004)</t>
  </si>
  <si>
    <t>Alt 1 base assumptions: rates at 80% of WR (which was same as City of Seattle per table)</t>
  </si>
  <si>
    <t>Office building garage at market rate but not peaking (effective yield about 15% less than GH)</t>
  </si>
  <si>
    <t>Expenses 30% higher than staffing and operating cost model</t>
  </si>
  <si>
    <t>Automotive Center Site Option B</t>
  </si>
  <si>
    <t>Current Proposal</t>
  </si>
  <si>
    <t>comment</t>
  </si>
  <si>
    <t>Entitlements an Utililites</t>
  </si>
  <si>
    <t>Shell and Core Arc</t>
  </si>
  <si>
    <t>includes $215K previously in misc</t>
  </si>
  <si>
    <t>Shell and Core Eng</t>
  </si>
  <si>
    <t>Shell and Core Const</t>
  </si>
  <si>
    <t>TI's</t>
  </si>
  <si>
    <t>excludes $2 million placeholder for repair facility</t>
  </si>
  <si>
    <t>Misc Dev Costs/Fees and Cont</t>
  </si>
  <si>
    <t>Cost before financing and KC phase I-Phase II costs</t>
  </si>
  <si>
    <t>Financing-including KC Phase I thru Phase III costs</t>
  </si>
  <si>
    <t>Net Capitalized interest</t>
  </si>
  <si>
    <t>Total for 63-20 lease</t>
  </si>
  <si>
    <t>Comparison of Cost Increment Changes</t>
  </si>
  <si>
    <t>Description</t>
  </si>
  <si>
    <t>RSF</t>
  </si>
  <si>
    <t>Estimated Total  Cost Impact</t>
  </si>
  <si>
    <t>Total  Cost</t>
  </si>
  <si>
    <t>Cost/RSF</t>
  </si>
  <si>
    <t>Baseline Option B</t>
  </si>
  <si>
    <t>n/a</t>
  </si>
  <si>
    <t>Move to 6th Avenue and other impacts including base FAR</t>
  </si>
  <si>
    <t>Add 2 floors</t>
  </si>
  <si>
    <t>Final sizing of building, all impacts, eliminate 1 floor parking</t>
  </si>
  <si>
    <t>Eliminate Repair facility from GH parking garage</t>
  </si>
  <si>
    <t>Office Building and 92 parking stalls only</t>
  </si>
  <si>
    <t>Alternative to Add back 1 floor of parking below office building</t>
  </si>
  <si>
    <t>Added cost to construction</t>
  </si>
  <si>
    <t>GH Garage</t>
  </si>
  <si>
    <t>Total</t>
  </si>
  <si>
    <t>Current Alternative Capital Cost</t>
  </si>
  <si>
    <t>Tunnel Included?</t>
  </si>
  <si>
    <t>no</t>
  </si>
  <si>
    <t>w/o trans costs</t>
  </si>
  <si>
    <t>Base FAR available per site</t>
  </si>
  <si>
    <t>Amount of FAR to purchase</t>
  </si>
  <si>
    <t>CE eestimate is 44K</t>
  </si>
  <si>
    <t>Cost per unit of FAR</t>
  </si>
  <si>
    <t>very conservative, could be as low at $15</t>
  </si>
  <si>
    <t>Garage fraction</t>
  </si>
  <si>
    <t>Goat Hill capital cost</t>
  </si>
  <si>
    <t>Alternative additional space-RSF</t>
  </si>
  <si>
    <t>Amount storage</t>
  </si>
  <si>
    <t>amount regular</t>
  </si>
  <si>
    <t>storage rate as fraction of regular</t>
  </si>
  <si>
    <t>Alternative B Previous Cost Base</t>
  </si>
  <si>
    <t>Increment to Alt B cost</t>
  </si>
  <si>
    <t>Interest Rate</t>
  </si>
  <si>
    <t>Years in Repayment of lease</t>
  </si>
  <si>
    <t>Year in repayment of remodel loan</t>
  </si>
  <si>
    <t>Base Payment</t>
  </si>
  <si>
    <t>Increment lease Payment</t>
  </si>
  <si>
    <t>MMRF Payment Base</t>
  </si>
  <si>
    <t>Remodel Payment Base (25 years)</t>
  </si>
  <si>
    <t>Motor Pool Cost Allocation</t>
  </si>
  <si>
    <t>Motor Pool Lease Payment</t>
  </si>
  <si>
    <t>Lease rate outyear escalation</t>
  </si>
  <si>
    <t>General Inflation</t>
  </si>
  <si>
    <t>Discount Rate</t>
  </si>
  <si>
    <t>Net Savings through end of debt service (e.g., 28 years)-Cumulative nominal</t>
  </si>
  <si>
    <t>Net Savings through end of debt service (e.g., 28 years)-Cumulative-Expressed in $2004 budget dollars</t>
  </si>
  <si>
    <t>Annual Savings in year 29 w no lease-current $2004 dollars</t>
  </si>
  <si>
    <t>NPV for 28 Years savings-PV of annual difference as lump sum amount in 2007</t>
  </si>
  <si>
    <t>value</t>
  </si>
  <si>
    <t>NPV 28 year impact of current alt vs Base</t>
  </si>
  <si>
    <t xml:space="preserve"> </t>
  </si>
  <si>
    <t>Discount rate</t>
  </si>
  <si>
    <t>Parking Alone</t>
  </si>
  <si>
    <t>Current Revenue net 730 spaces</t>
  </si>
  <si>
    <t>2007 Equivalent</t>
  </si>
  <si>
    <t>Combined Project</t>
  </si>
  <si>
    <t>A financing Example: (excluding any hot water or steam savings)</t>
  </si>
  <si>
    <t>Sum of 28 years</t>
  </si>
  <si>
    <t>Estimated Costs</t>
  </si>
  <si>
    <t>Base Payment-Alternative B Original</t>
  </si>
  <si>
    <t>Increment Payment-New alternative w features</t>
  </si>
  <si>
    <t>MMRF Payment Base Added space</t>
  </si>
  <si>
    <t>Total Expenses</t>
  </si>
  <si>
    <t>Revenues:</t>
  </si>
  <si>
    <t>Lease Payments Saved</t>
  </si>
  <si>
    <t>Additional leases-additional space</t>
  </si>
  <si>
    <t>Payments from Motor Pool for $2M</t>
  </si>
  <si>
    <t>Payments for Parking Contribution and unallocated</t>
  </si>
  <si>
    <t>Utility Savings (more efficient building)</t>
  </si>
  <si>
    <t>Central Hot water Heat net Cash savings</t>
  </si>
  <si>
    <t>Net Revenues Above</t>
  </si>
  <si>
    <t>Annual Difference</t>
  </si>
  <si>
    <t>NPV-28 years</t>
  </si>
  <si>
    <t>Cumulative Annual Difference</t>
  </si>
  <si>
    <t>Initial Balance (6 months revenues)</t>
  </si>
  <si>
    <t>Cumulative Fund Balance</t>
  </si>
  <si>
    <t>Lease Renegotiation Adjustment</t>
  </si>
  <si>
    <t>Annual w/o hot water</t>
  </si>
  <si>
    <t>Net for year</t>
  </si>
  <si>
    <t>Expressed in 2004 $'s</t>
  </si>
  <si>
    <t>Accumulated annual cashflow</t>
  </si>
  <si>
    <t>w/o hot water</t>
  </si>
  <si>
    <t>cumulative</t>
  </si>
  <si>
    <t>Required RSF NN lease rate for breakeven</t>
  </si>
  <si>
    <t>Effective RSF NN achieved w savings</t>
  </si>
  <si>
    <t>Effective RSF NN achieved w savings less reg</t>
  </si>
  <si>
    <t>K average effective (3)-244,379 3 buildings</t>
  </si>
  <si>
    <t xml:space="preserve">Garage Only-Scenario with linkage to WR proforma model for parking beginning in 2007 </t>
  </si>
  <si>
    <t>Facility Capital Expenses</t>
  </si>
  <si>
    <t>PV per space-net ops income</t>
  </si>
  <si>
    <t>Average parking spaces available</t>
  </si>
  <si>
    <t>Gross Revenues (see proforma)</t>
  </si>
  <si>
    <t>Operating Expenses</t>
  </si>
  <si>
    <t>Net Operations Income</t>
  </si>
  <si>
    <t>Net after facility expenses</t>
  </si>
  <si>
    <t>Distributions to Existing Benefitting funds</t>
  </si>
  <si>
    <t>Maintain C&amp;FS</t>
  </si>
  <si>
    <t>Maintain CX</t>
  </si>
  <si>
    <t>Total existing distributions</t>
  </si>
  <si>
    <t>Net annual unallocated</t>
  </si>
  <si>
    <t>cumulative annual unallocated</t>
  </si>
  <si>
    <t>Average monthly revenue/space</t>
  </si>
  <si>
    <t>Average monthly expense/space</t>
  </si>
  <si>
    <t>Average montly net income</t>
  </si>
  <si>
    <t>net per space required to net to zero annual allocated</t>
  </si>
  <si>
    <t>net above denominated in year 2004 $'s</t>
  </si>
  <si>
    <t>year 2004 $ equivalent</t>
  </si>
  <si>
    <t xml:space="preserve">Current model assumed market rate </t>
  </si>
  <si>
    <t xml:space="preserve">Current model KC market rate </t>
  </si>
  <si>
    <t>Current assumed overbook rate</t>
  </si>
  <si>
    <t>Net per space needed vs proforma</t>
  </si>
  <si>
    <t>Building Only</t>
  </si>
  <si>
    <t>NPV (28 years)</t>
  </si>
  <si>
    <t>net lease payments</t>
  </si>
  <si>
    <t>Total Expenses less Garage lease</t>
  </si>
  <si>
    <t>Revenues</t>
  </si>
  <si>
    <t>leased payments saved</t>
  </si>
  <si>
    <t>Operating savings</t>
  </si>
  <si>
    <t>Net Revenues (w/o hot water)</t>
  </si>
  <si>
    <t>Net Annual Difference</t>
  </si>
  <si>
    <t>Cumulative annual</t>
  </si>
  <si>
    <t>less lease renegotiation savings-potential</t>
  </si>
  <si>
    <t>net annual</t>
  </si>
  <si>
    <t>Net Cost/RSF</t>
  </si>
  <si>
    <t>$2007 equivalent</t>
  </si>
  <si>
    <t>year</t>
  </si>
  <si>
    <t>Total Expenses-Building</t>
  </si>
  <si>
    <t>Total Expenses-Goat Hill Site</t>
  </si>
  <si>
    <t>Total Revenues-Building</t>
  </si>
  <si>
    <t>Total Revenues-Goat Hill Site</t>
  </si>
  <si>
    <t>Total Revenues</t>
  </si>
  <si>
    <t>Annual Net</t>
  </si>
  <si>
    <t>Cumulative Net</t>
  </si>
  <si>
    <t>Net Savings through end of debt service (e.g., 28 years)-Cumulative</t>
  </si>
  <si>
    <t>Annual Savings in year 29 w no debt service</t>
  </si>
  <si>
    <t>NPV for 28 Years-PV of annual difference</t>
  </si>
  <si>
    <t>NPV for 25 Years-PV of annual difference</t>
  </si>
  <si>
    <t>Other revenue detail</t>
  </si>
  <si>
    <t>location</t>
  </si>
  <si>
    <t>department</t>
  </si>
  <si>
    <t>square footage</t>
  </si>
  <si>
    <t>Exchange Building</t>
  </si>
  <si>
    <t>DES/Finance</t>
  </si>
  <si>
    <t>DCHS</t>
  </si>
  <si>
    <t>Wells Fargo</t>
  </si>
  <si>
    <t>DPH</t>
  </si>
  <si>
    <t>Key Tower</t>
  </si>
  <si>
    <t>PAO</t>
  </si>
  <si>
    <t>DES/ITS</t>
  </si>
  <si>
    <t>Bank of California</t>
  </si>
  <si>
    <t>1916 Boren Street</t>
  </si>
  <si>
    <t>Health Dept</t>
  </si>
  <si>
    <t>Walthew Building</t>
  </si>
  <si>
    <t>DCHS/Public Defense</t>
  </si>
  <si>
    <t>Graybar Bldg</t>
  </si>
  <si>
    <t>Print Shop/Surplus Property</t>
  </si>
  <si>
    <t>Rent from State</t>
  </si>
  <si>
    <t>total leases</t>
  </si>
  <si>
    <t>leases/other</t>
  </si>
  <si>
    <t>Reconciliation of NPV differences between proforma and current</t>
  </si>
  <si>
    <t>Differences from previous</t>
  </si>
  <si>
    <t>28 vs 25 year of cashflows</t>
  </si>
  <si>
    <t>3 added years</t>
  </si>
  <si>
    <t>Hot Water vs Steam</t>
  </si>
  <si>
    <t>net revenue difference</t>
  </si>
  <si>
    <t>Reduction in net cost from proforma</t>
  </si>
  <si>
    <t>Net cost difference including cost of Motor Pool placeholder</t>
  </si>
  <si>
    <t>Debt service for garage addition</t>
  </si>
  <si>
    <t>cost in proforma but payments as revenue</t>
  </si>
  <si>
    <t>27.5 years vs 25 debt service</t>
  </si>
  <si>
    <t>Reduction in annual debt service</t>
  </si>
  <si>
    <t>Sum of differences</t>
  </si>
  <si>
    <t>Old NPV</t>
  </si>
  <si>
    <t>New NPV</t>
  </si>
  <si>
    <t>Difference</t>
  </si>
  <si>
    <t>Potential lease savings</t>
  </si>
  <si>
    <t xml:space="preserve">Total </t>
  </si>
  <si>
    <t>NPV</t>
  </si>
  <si>
    <t>KING COUNTY GOAT HILL OPTION B</t>
  </si>
  <si>
    <t>Development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</si>
  <si>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</si>
  <si>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</si>
  <si>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</si>
  <si>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</si>
  <si>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</si>
  <si>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</si>
  <si>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</si>
  <si>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</si>
  <si>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</si>
  <si>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</si>
  <si>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</si>
  <si>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</si>
  <si>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</si>
  <si>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</si>
  <si>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</si>
  <si>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</si>
  <si>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</si>
  <si>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</si>
  <si>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</si>
  <si>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</si>
  <si>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</si>
  <si>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</si>
  <si>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</si>
  <si>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</si>
  <si>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</si>
  <si>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</si>
  <si>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9.1 Budget</t>
  </si>
  <si>
    <t>revised</t>
  </si>
  <si>
    <t>$/RSF</t>
  </si>
  <si>
    <t>Revised $/SF</t>
  </si>
  <si>
    <t>ARCHITECTURAL &amp; ENGINEERING</t>
  </si>
  <si>
    <t>Basic A &amp; E</t>
  </si>
  <si>
    <t>Additional Services</t>
  </si>
  <si>
    <t>Engineering</t>
  </si>
  <si>
    <t>Other Consultants</t>
  </si>
  <si>
    <t>Reimbursables</t>
  </si>
  <si>
    <t>Testing, Inspection, Soils and Survey</t>
  </si>
  <si>
    <t xml:space="preserve">  </t>
  </si>
  <si>
    <t xml:space="preserve">TOTAL ARCHITECTURAL &amp; ENGINEERING </t>
  </si>
  <si>
    <t>CONSTRUCTION COSTS</t>
  </si>
  <si>
    <t xml:space="preserve">Shell &amp; Core Construction Costs </t>
  </si>
  <si>
    <t>Change Order Allowance</t>
  </si>
  <si>
    <t>Payment &amp; Performance Bond</t>
  </si>
  <si>
    <t>(I)</t>
  </si>
  <si>
    <t>Permits</t>
  </si>
  <si>
    <t>(J)</t>
  </si>
  <si>
    <t>Art</t>
  </si>
  <si>
    <t>(K)-formula</t>
  </si>
  <si>
    <t>Utility Hook-ups</t>
  </si>
  <si>
    <t>(L)</t>
  </si>
  <si>
    <t>Sales Tax</t>
  </si>
  <si>
    <t>(M)</t>
  </si>
  <si>
    <t>TOTAL CONSTRUCTION</t>
  </si>
  <si>
    <t>TENANT COSTS</t>
  </si>
  <si>
    <t>Tenant Improvements</t>
  </si>
  <si>
    <t>Tenant Improvement proforma budget allowances</t>
  </si>
  <si>
    <t>(N1)</t>
  </si>
  <si>
    <t>Specialty Tenant Improvements</t>
  </si>
  <si>
    <t>(O)</t>
  </si>
  <si>
    <t>Tenant Design &amp; Engineering Fees</t>
  </si>
  <si>
    <t>(P)</t>
  </si>
  <si>
    <t>Tenant Change Order Allowance</t>
  </si>
  <si>
    <t>Tenant Design Contingency</t>
  </si>
  <si>
    <t>TOTAL TENANT COSTS</t>
  </si>
  <si>
    <t>MISCELLANEOUS</t>
  </si>
  <si>
    <t>Legal &amp; Accounting</t>
  </si>
  <si>
    <t>Builder's Risk, Earthquake and Completion Insurance</t>
  </si>
  <si>
    <t>Building Commissioning</t>
  </si>
  <si>
    <t>Real Estate Taxes During Construction</t>
  </si>
  <si>
    <t>Other</t>
  </si>
  <si>
    <t>TOTAL MISCELLANEOUS</t>
  </si>
  <si>
    <t>PROJECT ADMINISTRATION</t>
  </si>
  <si>
    <t>Developer's Overhead</t>
  </si>
  <si>
    <t>Developer's Fee</t>
  </si>
  <si>
    <t>TOTAL PROJECT ADMINISTRATION</t>
  </si>
  <si>
    <t>CONTINGENCY</t>
  </si>
  <si>
    <t>General</t>
  </si>
  <si>
    <t>TOTAL CONTINGENCY</t>
  </si>
  <si>
    <t>Estimated Required FAR purchase</t>
  </si>
  <si>
    <t>(see unit cost and amount)</t>
  </si>
  <si>
    <t>TOTAL DEVELOPMENT COSTS</t>
  </si>
  <si>
    <t>Total Rentable Square Feet</t>
  </si>
  <si>
    <t>Cost Per Square Foot if New Boma Standards were used</t>
  </si>
  <si>
    <t>Parking Stalls  921 Stalls Total</t>
  </si>
  <si>
    <t>(N1) is original lump sum allowances for owner controlled TI budgets.  Maintain.</t>
  </si>
  <si>
    <t>(A)</t>
  </si>
  <si>
    <t>Basic A &amp; E includes architectural (ZGF), structural (KPFF) and civil (Skillings) drawings.</t>
  </si>
  <si>
    <t>(B)</t>
  </si>
  <si>
    <t>Additional Services is approximately 10% of the fee.</t>
  </si>
  <si>
    <t>(C)</t>
  </si>
  <si>
    <t>Engineering includes $380,000 for structural engineering (MKA); $145,000 for civil (MKA); $98,000 for electrical (Holmes), $111,000 for mechanical (MacDonald-Miller) and $31,000 for an oversight engineer (TBD).</t>
  </si>
  <si>
    <t>(D)</t>
  </si>
  <si>
    <t>Other Consultants includes $19,000 for curtainwall, $24,000 for graphics, $33,000 for elevators, $10,000 for acoustical, $7,000 for lighting, $30,000 for traffic, $150,000 for green, $10,000 for roofing, $57,000 for landscape, and $25,000 for other.</t>
  </si>
  <si>
    <t>(E)</t>
  </si>
  <si>
    <t>Reimbursables are based on historical costs.</t>
  </si>
  <si>
    <t>(F)</t>
  </si>
  <si>
    <t>Testing &amp; Inspection includes $42,000 for survey, $150,000 for soil, $225,000 for concrete testing and structural steel testing, and $15,000 for other.</t>
  </si>
  <si>
    <t>(G)</t>
  </si>
  <si>
    <t xml:space="preserve">The construction budget is based on Turner's GMAX and breaks down as follows:  $32,802,502 for the building; $4,833,702 for the parking under the building (two levels);  $14,860,468 for the separate garage on 6th Avenue; $816,809 for the connector from 5th Avenue to the 6th Avenue garage elevators; $331,830 for lobby allowance and parking equipment; targeted VE reductions of ($1,333,927); $1,763,616 escalation contingency.  The above construction costs include Payment and Performance Bonds. </t>
  </si>
  <si>
    <t>(H)</t>
  </si>
  <si>
    <t>Change Order Allowance is approximately 1.8% of the construction costs and has been agreed to by Turner.</t>
  </si>
  <si>
    <t>Payment and Performance Bonds is included in Turner's budget above.</t>
  </si>
  <si>
    <t>Permits were based on historical costs.</t>
  </si>
  <si>
    <t>(K)</t>
  </si>
  <si>
    <t>Art is 1% of the overall budget.</t>
  </si>
  <si>
    <t>Utility Hook-ups is based on historical costs.</t>
  </si>
  <si>
    <t>Sales Tax is calculated at 8.8% on Construction Costs and Change Order Allowance only.</t>
  </si>
  <si>
    <t>(N)</t>
  </si>
  <si>
    <t>Tenant Improvements is budgeted  at approximately $50.00 per RSF including sales tax.</t>
  </si>
  <si>
    <t>Tenant Design &amp; Engineering Fees include Architects fee at $326,000, $95,000 for electrical engineering, $55,000 for mechanical, $28,000 for data engineering, and $6,000 for other.</t>
  </si>
  <si>
    <t>(Q)</t>
  </si>
  <si>
    <t>Tenant Change Order Allowance is approximately .75% of tenant improvements.</t>
  </si>
  <si>
    <t>(R)</t>
  </si>
  <si>
    <t>Tenant Design Contingency of $1,500,000 to be controlled by Tenant.</t>
  </si>
  <si>
    <t>(S)</t>
  </si>
  <si>
    <t>All miscellaneous costs are based on historical costs escalated.</t>
  </si>
  <si>
    <t>(T)</t>
  </si>
  <si>
    <t>Developer's Overhead is $44,545 per month for 33 months starting April 2004.</t>
  </si>
  <si>
    <t>(U)</t>
  </si>
  <si>
    <t>Developer's Fee is approximately 3.1% of the total costs before fee.</t>
  </si>
  <si>
    <t>(V)</t>
  </si>
  <si>
    <t>Contingency is approximately 3% of total budget.</t>
  </si>
  <si>
    <t>Delivery Date / Cost of Issuance Expenses</t>
  </si>
  <si>
    <t>Estimated</t>
  </si>
  <si>
    <t>SWAG Approach to Financing Costs</t>
  </si>
  <si>
    <t xml:space="preserve">Costs of Issuance </t>
  </si>
  <si>
    <t>Development Costs Principal Amount</t>
  </si>
  <si>
    <t>MBIA Bond Insurance Premium (formula driven)</t>
  </si>
  <si>
    <t>Bond Counsel Fees  (formula driven)</t>
  </si>
  <si>
    <t>Solve For</t>
  </si>
  <si>
    <t xml:space="preserve">     Additional Real Estate Consultation Fees</t>
  </si>
  <si>
    <t>Financial Consultant Fees (SNWS / Hattori) (formula driven)</t>
  </si>
  <si>
    <t>Capitalized Interest ("Cap I")</t>
  </si>
  <si>
    <t xml:space="preserve">     Moody's</t>
  </si>
  <si>
    <t xml:space="preserve">     S&amp;P's</t>
  </si>
  <si>
    <t>Principal Amount multiplied by 5.25% interest</t>
  </si>
  <si>
    <t xml:space="preserve">     POS Printing and Mailing</t>
  </si>
  <si>
    <t>Divided by 12 months</t>
  </si>
  <si>
    <t xml:space="preserve">     Trustee/Trustee's Counsel</t>
  </si>
  <si>
    <t>Multiplied by:</t>
  </si>
  <si>
    <t xml:space="preserve">     Arbitrage Rebate Calculation</t>
  </si>
  <si>
    <t>1.  Construction Period (18 months); plus</t>
  </si>
  <si>
    <t>2.  Extra Delay Period (9 months)</t>
  </si>
  <si>
    <t>Underwriter (formula driven)</t>
  </si>
  <si>
    <t xml:space="preserve">     Underwriter's Counsel</t>
  </si>
  <si>
    <t xml:space="preserve">Rationalize by Deducting Extra Delay </t>
  </si>
  <si>
    <t>Period of 9 months (i.e., 33%)</t>
  </si>
  <si>
    <t>Non Profit (formula driven)</t>
  </si>
  <si>
    <t xml:space="preserve">     Non Profit's Counsel</t>
  </si>
  <si>
    <t>Net Capitalized Interest During Construction</t>
  </si>
  <si>
    <t xml:space="preserve">     Non Profit's Construction Consultant</t>
  </si>
  <si>
    <t>King County / HMC Oversight</t>
  </si>
  <si>
    <t>King County Finance Fee</t>
  </si>
  <si>
    <t>Addition to KC Phase I thru Phase III costs</t>
  </si>
  <si>
    <t>Revised KC Costs</t>
  </si>
  <si>
    <t>Revised Total Costs</t>
  </si>
  <si>
    <t>King County Costs in New Office Building</t>
  </si>
  <si>
    <t>Basic</t>
  </si>
  <si>
    <t>Steam</t>
  </si>
  <si>
    <t>Reimbursements</t>
  </si>
  <si>
    <t>Comments</t>
  </si>
  <si>
    <t>Alternatives</t>
  </si>
  <si>
    <t>Phase I</t>
  </si>
  <si>
    <t>Reimbursement from HMC for Central Steam Alternatives</t>
  </si>
  <si>
    <t>Specific Planning</t>
  </si>
  <si>
    <t>Phase II</t>
  </si>
  <si>
    <t>Use steam allocation for proviso alternatives plus Phase I overruns with consultants</t>
  </si>
  <si>
    <t>Implementation</t>
  </si>
  <si>
    <t>Phase III</t>
  </si>
  <si>
    <t>To fund in Lease Financing</t>
  </si>
  <si>
    <t>Amount in original proforma</t>
  </si>
  <si>
    <t>Increase to proforma</t>
  </si>
  <si>
    <t>Financing</t>
  </si>
  <si>
    <t>term</t>
  </si>
  <si>
    <t>rate</t>
  </si>
  <si>
    <t>Current Alternative</t>
  </si>
  <si>
    <t>Latest GMP</t>
  </si>
  <si>
    <t>Cindy B "original"</t>
  </si>
  <si>
    <t>Version C1</t>
  </si>
  <si>
    <t>Version C2</t>
  </si>
  <si>
    <t>Version C3</t>
  </si>
  <si>
    <t>Version C4</t>
  </si>
  <si>
    <t>Version C5</t>
  </si>
  <si>
    <t>Version C7R</t>
  </si>
  <si>
    <t>Cindy check</t>
  </si>
  <si>
    <t>C7AR</t>
  </si>
  <si>
    <t>C7BR</t>
  </si>
  <si>
    <t>Previous Version C7</t>
  </si>
  <si>
    <t>Version C8</t>
  </si>
  <si>
    <t>Goat Hill Site</t>
  </si>
  <si>
    <t>Bld Goat Hill</t>
  </si>
  <si>
    <t>Bld KCAC</t>
  </si>
  <si>
    <t>(C1 plus 1 floor)</t>
  </si>
  <si>
    <t>(C3 plus 1 floor)</t>
  </si>
  <si>
    <t>(C3 minus 1 floor)</t>
  </si>
  <si>
    <t>(C4 less Maintenance shop)</t>
  </si>
  <si>
    <t>Goat Hill Portion -Parking structure privately operated</t>
  </si>
  <si>
    <t>(Goat Hill Parking Structure as separate project)</t>
  </si>
  <si>
    <t>(C5 less Maintenance shop)</t>
  </si>
  <si>
    <t>Garage spaces</t>
  </si>
  <si>
    <t>Proforma</t>
  </si>
  <si>
    <t>Option A</t>
  </si>
  <si>
    <t>Option B</t>
  </si>
  <si>
    <t>Add 1 Floor</t>
  </si>
  <si>
    <t>No Add Floors</t>
  </si>
  <si>
    <t>Cost/Space</t>
  </si>
  <si>
    <t xml:space="preserve">GMP Line Item </t>
  </si>
  <si>
    <t xml:space="preserve">Estimated </t>
  </si>
  <si>
    <t>5th avenue Garage</t>
  </si>
  <si>
    <t>6th avenue garage</t>
  </si>
  <si>
    <t>total cost</t>
  </si>
  <si>
    <t xml:space="preserve">Categories </t>
  </si>
  <si>
    <t>Totals</t>
  </si>
  <si>
    <t>Guaranteed By</t>
  </si>
  <si>
    <t>Fraction of base</t>
  </si>
  <si>
    <t>Regular</t>
  </si>
  <si>
    <t>Storage</t>
  </si>
  <si>
    <t>current 162 surface and 568 KCAC</t>
  </si>
  <si>
    <t>Developer</t>
  </si>
  <si>
    <t xml:space="preserve">80 surface in below </t>
  </si>
  <si>
    <t xml:space="preserve">56 surface in below </t>
  </si>
  <si>
    <t>Total Parking Spaces</t>
  </si>
  <si>
    <t>Plan to add 250 added</t>
  </si>
  <si>
    <t>985 tentative</t>
  </si>
  <si>
    <t>Replacement+ new=980</t>
  </si>
  <si>
    <t>ENTITLEMENTS &amp; UTILITY HOOK-UPs</t>
  </si>
  <si>
    <t>WR categories under construction</t>
  </si>
  <si>
    <t xml:space="preserve">SHELL &amp; CORE ARCHITECTURAL </t>
  </si>
  <si>
    <t xml:space="preserve">     Architectural - Programming</t>
  </si>
  <si>
    <t xml:space="preserve">     Architectural - Schematic Drawings</t>
  </si>
  <si>
    <t xml:space="preserve">     Architectural - Design Development</t>
  </si>
  <si>
    <t xml:space="preserve">     Architectural - Construction Drawings</t>
  </si>
  <si>
    <t xml:space="preserve">     Architectural - Construction Oversight</t>
  </si>
  <si>
    <t xml:space="preserve">     Architectural - As Built Plans</t>
  </si>
  <si>
    <t>yellow area is the current summary</t>
  </si>
  <si>
    <t xml:space="preserve">     Architectural - LEEDS Silver</t>
  </si>
  <si>
    <t xml:space="preserve">     Architectural - Misc.</t>
  </si>
  <si>
    <t>SHELL &amp; CORE ARCHITECTURAL TOTAL</t>
  </si>
  <si>
    <t>note that $186K from misc is here</t>
  </si>
  <si>
    <t>SHELL &amp; CORE ENGINEERING</t>
  </si>
  <si>
    <t xml:space="preserve">     Engineering - Civil</t>
  </si>
  <si>
    <t xml:space="preserve">     Engineering - Structural</t>
  </si>
  <si>
    <t xml:space="preserve">     Engineering - Mechanical</t>
  </si>
  <si>
    <t xml:space="preserve">     Engineering - Geotechnical</t>
  </si>
  <si>
    <t xml:space="preserve">     Engineering - Fire Systems</t>
  </si>
  <si>
    <t xml:space="preserve">     Engineering - Electrical / Telecommunications</t>
  </si>
  <si>
    <t xml:space="preserve">     Engineering - Testing / Inspection(s)</t>
  </si>
  <si>
    <t xml:space="preserve">     Engineering - LEEDS Silver</t>
  </si>
  <si>
    <t xml:space="preserve">     Engineering - Misc.</t>
  </si>
  <si>
    <t>SHELL &amp; CORE ENGINEERING TOTAL</t>
  </si>
  <si>
    <t>CONSTRUCTION - SHELL &amp; CORE</t>
  </si>
  <si>
    <t xml:space="preserve">     Contractor's Fee</t>
  </si>
  <si>
    <t>in construction</t>
  </si>
  <si>
    <t xml:space="preserve">     Contractor's General Conditions</t>
  </si>
  <si>
    <t xml:space="preserve">     Estimated Construction Costs Including Sales Tax at $150/sf</t>
  </si>
  <si>
    <t xml:space="preserve">     Contractor's Contingency</t>
  </si>
  <si>
    <t xml:space="preserve">     Payment &amp; Performance Bond</t>
  </si>
  <si>
    <t>CONSTRUCTION - SHELL &amp; CORE TOTALS</t>
  </si>
  <si>
    <t xml:space="preserve">     </t>
  </si>
  <si>
    <t>TENANT IMPROVEMENTS - ALLOWANCE</t>
  </si>
  <si>
    <t xml:space="preserve">     Architectual &amp; Engineering Fees</t>
  </si>
  <si>
    <t>omitted  but restored</t>
  </si>
  <si>
    <t xml:space="preserve">     Estimated Construction Costs Including Sales Tax at $50/sf</t>
  </si>
  <si>
    <t>rounded by WR</t>
  </si>
  <si>
    <t xml:space="preserve">     Specialty Space TI's</t>
  </si>
  <si>
    <t>deleted</t>
  </si>
  <si>
    <t>TENANT IMPROVEMENTS ALLOWANCE TOTAL</t>
  </si>
  <si>
    <t>MISC. DEVELOPMENT COSTS</t>
  </si>
  <si>
    <t xml:space="preserve">     Developer's Legal</t>
  </si>
  <si>
    <t xml:space="preserve">     Developer's Accounting</t>
  </si>
  <si>
    <t xml:space="preserve">     Owner's &amp; Lender's Title Insurance</t>
  </si>
  <si>
    <t xml:space="preserve">     Casualty Insurance, Including Earthquake </t>
  </si>
  <si>
    <t xml:space="preserve">     Building Commissioning</t>
  </si>
  <si>
    <t xml:space="preserve">     Other Consultant Fees</t>
  </si>
  <si>
    <t xml:space="preserve">     Misc.</t>
  </si>
  <si>
    <t>MISC. DEVELOPMENT COSTS TOTAL</t>
  </si>
  <si>
    <t>item h, misc consult $215above at $186K</t>
  </si>
  <si>
    <t>DEVELOPER FEE INCLUDING SALES TAX</t>
  </si>
  <si>
    <t>DEVELOPER OVERHEAD INCLUDING SALES TAX</t>
  </si>
  <si>
    <t xml:space="preserve">DEVELOPER'S CONTINGENCY </t>
  </si>
  <si>
    <t>Purchase of FAR</t>
  </si>
  <si>
    <t>total included</t>
  </si>
  <si>
    <t>OWNER'S CONTINGENCY - 100% Residual to Owner</t>
  </si>
  <si>
    <t>1% FOR THE ARTS</t>
  </si>
  <si>
    <t>TOTAL  COSTS BEFORE FINANCING</t>
  </si>
  <si>
    <t>GMP</t>
  </si>
  <si>
    <t>q</t>
  </si>
  <si>
    <t>LAND</t>
  </si>
  <si>
    <t>TOTAL LAND &amp; DEVELOPMENT COSTS BEFORE FINANCING</t>
  </si>
  <si>
    <t>With financing and other costs</t>
  </si>
  <si>
    <t>Cost/RSF before financing</t>
  </si>
  <si>
    <t>Cost/RSF with financing</t>
  </si>
  <si>
    <t>Estimated Costs of Issuance</t>
  </si>
  <si>
    <t>Incremental</t>
  </si>
  <si>
    <t>Average</t>
  </si>
  <si>
    <t>Estimated Financing Costs</t>
  </si>
  <si>
    <t>Net Capitalized Interest During Construction - Estimated</t>
  </si>
  <si>
    <t xml:space="preserve">          Total</t>
  </si>
  <si>
    <t xml:space="preserve">          Debt Service Annual</t>
  </si>
  <si>
    <t>Total Var</t>
  </si>
  <si>
    <t>Total vs Proforma</t>
  </si>
  <si>
    <t>Annual debt vs Proforma</t>
  </si>
  <si>
    <t>annual var</t>
  </si>
  <si>
    <t>vs Alternative B</t>
  </si>
  <si>
    <t>Worksheet Check</t>
  </si>
  <si>
    <t>eliminated maintence</t>
  </si>
  <si>
    <t>required parking upgrades</t>
  </si>
  <si>
    <t>Minminimum contingency on WR level of uncertainty</t>
  </si>
  <si>
    <t>Land related costs for alternative B</t>
  </si>
  <si>
    <t>acquisition of property rights</t>
  </si>
  <si>
    <t>land purchase</t>
  </si>
  <si>
    <t>remove land encumberances</t>
  </si>
  <si>
    <t>purchase/construct 250 parking spaces</t>
  </si>
  <si>
    <t>Other Considerations:</t>
  </si>
  <si>
    <t>Cost to provide an equivalent amount of parking</t>
  </si>
  <si>
    <t>Seismic Stabilization</t>
  </si>
  <si>
    <t>Consequences of 12 month delay</t>
  </si>
  <si>
    <t>Interest rate risk (approximately 34 basis points)</t>
  </si>
  <si>
    <t>construction inflation above standard inflation</t>
  </si>
  <si>
    <t>Cost/RSF w/o other costs</t>
  </si>
  <si>
    <t>Total $/RSF</t>
  </si>
  <si>
    <t>Cost/RSF w/ other costs</t>
  </si>
  <si>
    <t xml:space="preserve">Cost/RSF with financing and other </t>
  </si>
  <si>
    <t>Added cost in lease above baseline</t>
  </si>
  <si>
    <t>Annual Lease Impact</t>
  </si>
  <si>
    <t>Added space RSF</t>
  </si>
  <si>
    <t>Additional Lease Income yr1</t>
  </si>
  <si>
    <t>(assume average of base)</t>
  </si>
  <si>
    <t>Net Impact Year 1 (=deficit), +=surplus</t>
  </si>
  <si>
    <t>w tunnel (=deficit)</t>
  </si>
  <si>
    <t>Tunnel Cost</t>
  </si>
  <si>
    <t>w art and financing</t>
  </si>
  <si>
    <t>annual lease impact</t>
  </si>
  <si>
    <t>Version C-Basseline</t>
  </si>
  <si>
    <t>Version C7</t>
  </si>
  <si>
    <t>less Repair Shop Payment</t>
  </si>
  <si>
    <t>Net of Repair Shop payment (1st year added deficit)</t>
  </si>
  <si>
    <t>Parking Income w/o repair facility (20 spaces-year 1)</t>
  </si>
  <si>
    <t>Net 1st year vs baseline w tunnel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</si>
</sst>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%"/>
    <numFmt numFmtId="167" formatCode="&quot;$&quot;#,##0"/>
    <numFmt numFmtId="168" formatCode="&quot;$&quot;#,##0.0"/>
  </numFmts>
  <fonts count="50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sz val="7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b/>
      <u val="singleAccounting"/>
      <sz val="8"/>
      <name val="Times New Roman"/>
      <family val="0"/>
    </font>
    <font>
      <b/>
      <u val="single"/>
      <sz val="8"/>
      <name val="Times New Roman"/>
      <family val="0"/>
    </font>
    <font>
      <u val="single"/>
      <sz val="10"/>
      <name val="Arial"/>
      <family val="2"/>
    </font>
    <font>
      <u val="singleAccounting"/>
      <sz val="8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b/>
      <u val="doubleAccounting"/>
      <sz val="8"/>
      <name val="Times New Roman"/>
      <family val="0"/>
    </font>
    <font>
      <u val="double"/>
      <sz val="8"/>
      <name val="Times New Roman"/>
      <family val="0"/>
    </font>
    <font>
      <u val="doubleAccounting"/>
      <sz val="8"/>
      <name val="Times New Roman"/>
      <family val="0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7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6"/>
      <name val="Times New Roman"/>
      <family val="1"/>
    </font>
    <font>
      <sz val="12"/>
      <name val="Times New Roman"/>
      <family val="0"/>
    </font>
    <font>
      <sz val="6"/>
      <name val="Times New Roman"/>
      <family val="1"/>
    </font>
    <font>
      <sz val="6"/>
      <color indexed="10"/>
      <name val="Times New Roman"/>
      <family val="1"/>
    </font>
    <font>
      <i/>
      <sz val="8"/>
      <color indexed="18"/>
      <name val="Times New Roman"/>
      <family val="1"/>
    </font>
    <font>
      <i/>
      <sz val="7"/>
      <name val="Times New Roman"/>
      <family val="1"/>
    </font>
    <font>
      <i/>
      <u val="single"/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0" fontId="1" fillId="0" borderId="0" xfId="20" applyNumberFormat="1" applyFont="1" applyAlignment="1">
      <alignment/>
    </xf>
    <xf numFmtId="165" fontId="1" fillId="0" borderId="0" xfId="0" applyNumberFormat="1" applyFont="1" applyAlignment="1">
      <alignment/>
    </xf>
    <xf numFmtId="9" fontId="1" fillId="0" borderId="0" xfId="20" applyFont="1" applyAlignment="1">
      <alignment/>
    </xf>
    <xf numFmtId="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15" applyNumberFormat="1" applyFont="1" applyAlignment="1">
      <alignment/>
    </xf>
    <xf numFmtId="6" fontId="3" fillId="0" borderId="0" xfId="0" applyNumberFormat="1" applyFont="1" applyAlignment="1">
      <alignment/>
    </xf>
    <xf numFmtId="166" fontId="1" fillId="0" borderId="0" xfId="2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1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6" fontId="10" fillId="2" borderId="0" xfId="15" applyNumberFormat="1" applyFont="1" applyFill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/>
    </xf>
    <xf numFmtId="6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15" applyNumberFormat="1" applyFont="1" applyAlignment="1">
      <alignment/>
    </xf>
    <xf numFmtId="167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6" fontId="8" fillId="2" borderId="0" xfId="0" applyNumberFormat="1" applyFont="1" applyFill="1" applyBorder="1" applyAlignment="1">
      <alignment horizontal="right"/>
    </xf>
    <xf numFmtId="0" fontId="8" fillId="0" borderId="5" xfId="0" applyFont="1" applyBorder="1" applyAlignment="1">
      <alignment/>
    </xf>
    <xf numFmtId="164" fontId="8" fillId="2" borderId="0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0" fontId="11" fillId="0" borderId="5" xfId="0" applyFont="1" applyBorder="1" applyAlignment="1">
      <alignment/>
    </xf>
    <xf numFmtId="8" fontId="2" fillId="2" borderId="0" xfId="0" applyNumberFormat="1" applyFont="1" applyFill="1" applyBorder="1" applyAlignment="1">
      <alignment horizontal="right"/>
    </xf>
    <xf numFmtId="9" fontId="8" fillId="0" borderId="0" xfId="20" applyFont="1" applyAlignment="1">
      <alignment/>
    </xf>
    <xf numFmtId="10" fontId="8" fillId="3" borderId="0" xfId="0" applyNumberFormat="1" applyFont="1" applyFill="1" applyBorder="1" applyAlignment="1">
      <alignment horizontal="right"/>
    </xf>
    <xf numFmtId="10" fontId="9" fillId="0" borderId="0" xfId="20" applyNumberFormat="1" applyFont="1" applyAlignment="1">
      <alignment/>
    </xf>
    <xf numFmtId="164" fontId="8" fillId="0" borderId="0" xfId="15" applyNumberFormat="1" applyFont="1" applyFill="1" applyBorder="1" applyAlignment="1">
      <alignment horizontal="right"/>
    </xf>
    <xf numFmtId="9" fontId="8" fillId="2" borderId="0" xfId="20" applyFont="1" applyFill="1" applyBorder="1" applyAlignment="1">
      <alignment horizontal="right"/>
    </xf>
    <xf numFmtId="6" fontId="8" fillId="0" borderId="0" xfId="0" applyNumberFormat="1" applyFont="1" applyBorder="1" applyAlignment="1">
      <alignment/>
    </xf>
    <xf numFmtId="0" fontId="12" fillId="0" borderId="4" xfId="0" applyFont="1" applyBorder="1" applyAlignment="1">
      <alignment/>
    </xf>
    <xf numFmtId="6" fontId="12" fillId="0" borderId="0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10" fontId="8" fillId="0" borderId="0" xfId="20" applyNumberFormat="1" applyFont="1" applyBorder="1" applyAlignment="1">
      <alignment/>
    </xf>
    <xf numFmtId="0" fontId="8" fillId="0" borderId="0" xfId="0" applyFont="1" applyBorder="1" applyAlignment="1">
      <alignment/>
    </xf>
    <xf numFmtId="6" fontId="13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6" fontId="14" fillId="0" borderId="0" xfId="0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0" fontId="13" fillId="0" borderId="0" xfId="20" applyNumberFormat="1" applyFont="1" applyBorder="1" applyAlignment="1">
      <alignment/>
    </xf>
    <xf numFmtId="9" fontId="8" fillId="0" borderId="4" xfId="20" applyFont="1" applyBorder="1" applyAlignment="1">
      <alignment/>
    </xf>
    <xf numFmtId="9" fontId="10" fillId="0" borderId="6" xfId="2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4" xfId="0" applyFont="1" applyBorder="1" applyAlignment="1">
      <alignment/>
    </xf>
    <xf numFmtId="167" fontId="8" fillId="0" borderId="5" xfId="15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64" fontId="13" fillId="0" borderId="0" xfId="0" applyNumberFormat="1" applyFont="1" applyBorder="1" applyAlignment="1">
      <alignment/>
    </xf>
    <xf numFmtId="44" fontId="8" fillId="0" borderId="0" xfId="17" applyFont="1" applyAlignment="1">
      <alignment/>
    </xf>
    <xf numFmtId="44" fontId="8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9" fontId="8" fillId="0" borderId="7" xfId="20" applyFont="1" applyBorder="1" applyAlignment="1">
      <alignment/>
    </xf>
    <xf numFmtId="9" fontId="10" fillId="0" borderId="0" xfId="20" applyFont="1" applyAlignment="1">
      <alignment/>
    </xf>
    <xf numFmtId="0" fontId="13" fillId="0" borderId="0" xfId="0" applyFont="1" applyAlignment="1">
      <alignment/>
    </xf>
    <xf numFmtId="6" fontId="9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6" fontId="15" fillId="0" borderId="0" xfId="0" applyNumberFormat="1" applyFont="1" applyFill="1" applyAlignment="1">
      <alignment/>
    </xf>
    <xf numFmtId="6" fontId="15" fillId="2" borderId="0" xfId="0" applyNumberFormat="1" applyFont="1" applyFill="1" applyAlignment="1">
      <alignment/>
    </xf>
    <xf numFmtId="0" fontId="8" fillId="2" borderId="0" xfId="0" applyFont="1" applyFill="1" applyAlignment="1">
      <alignment horizontal="left"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2" borderId="0" xfId="0" applyFont="1" applyFill="1" applyAlignment="1">
      <alignment/>
    </xf>
    <xf numFmtId="6" fontId="16" fillId="0" borderId="0" xfId="0" applyNumberFormat="1" applyFont="1" applyFill="1" applyAlignment="1">
      <alignment/>
    </xf>
    <xf numFmtId="0" fontId="13" fillId="0" borderId="0" xfId="0" applyFont="1" applyAlignment="1">
      <alignment horizontal="right"/>
    </xf>
    <xf numFmtId="6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3" fillId="0" borderId="9" xfId="0" applyNumberFormat="1" applyFont="1" applyBorder="1" applyAlignment="1">
      <alignment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6" fontId="15" fillId="4" borderId="0" xfId="0" applyNumberFormat="1" applyFont="1" applyFill="1" applyAlignment="1">
      <alignment/>
    </xf>
    <xf numFmtId="9" fontId="13" fillId="4" borderId="0" xfId="20" applyFont="1" applyFill="1" applyAlignment="1">
      <alignment/>
    </xf>
    <xf numFmtId="164" fontId="8" fillId="4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6" fontId="15" fillId="2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6" fontId="15" fillId="2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8" fontId="9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9" fontId="9" fillId="0" borderId="0" xfId="20" applyFont="1" applyAlignment="1">
      <alignment/>
    </xf>
    <xf numFmtId="9" fontId="17" fillId="0" borderId="0" xfId="20" applyFont="1" applyAlignment="1">
      <alignment/>
    </xf>
    <xf numFmtId="9" fontId="17" fillId="0" borderId="0" xfId="20" applyFont="1" applyAlignment="1">
      <alignment/>
    </xf>
    <xf numFmtId="0" fontId="9" fillId="5" borderId="0" xfId="0" applyFont="1" applyFill="1" applyAlignment="1">
      <alignment/>
    </xf>
    <xf numFmtId="0" fontId="1" fillId="5" borderId="0" xfId="0" applyFont="1" applyFill="1" applyAlignment="1">
      <alignment/>
    </xf>
    <xf numFmtId="8" fontId="8" fillId="5" borderId="0" xfId="0" applyNumberFormat="1" applyFont="1" applyFill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0" fillId="0" borderId="0" xfId="0" applyFont="1" applyAlignment="1">
      <alignment/>
    </xf>
    <xf numFmtId="8" fontId="13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/>
    </xf>
    <xf numFmtId="8" fontId="15" fillId="2" borderId="0" xfId="0" applyNumberFormat="1" applyFont="1" applyFill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6" fontId="8" fillId="0" borderId="0" xfId="0" applyNumberFormat="1" applyFont="1" applyAlignment="1">
      <alignment/>
    </xf>
    <xf numFmtId="38" fontId="13" fillId="6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15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4" fontId="8" fillId="0" borderId="0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Alignment="1">
      <alignment/>
    </xf>
    <xf numFmtId="8" fontId="13" fillId="6" borderId="0" xfId="0" applyNumberFormat="1" applyFont="1" applyFill="1" applyBorder="1" applyAlignment="1">
      <alignment horizontal="right"/>
    </xf>
    <xf numFmtId="164" fontId="13" fillId="0" borderId="0" xfId="15" applyNumberFormat="1" applyFont="1" applyBorder="1" applyAlignment="1">
      <alignment/>
    </xf>
    <xf numFmtId="167" fontId="13" fillId="6" borderId="0" xfId="0" applyNumberFormat="1" applyFont="1" applyFill="1" applyBorder="1" applyAlignment="1">
      <alignment/>
    </xf>
    <xf numFmtId="164" fontId="13" fillId="0" borderId="0" xfId="15" applyNumberFormat="1" applyFont="1" applyAlignment="1">
      <alignment/>
    </xf>
    <xf numFmtId="38" fontId="8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 vertical="top"/>
    </xf>
    <xf numFmtId="165" fontId="8" fillId="0" borderId="0" xfId="17" applyNumberFormat="1" applyFont="1" applyAlignment="1">
      <alignment horizontal="right"/>
    </xf>
    <xf numFmtId="0" fontId="0" fillId="7" borderId="0" xfId="0" applyFill="1" applyAlignment="1">
      <alignment/>
    </xf>
    <xf numFmtId="0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13" fillId="0" borderId="0" xfId="0" applyFont="1" applyAlignment="1">
      <alignment horizontal="left"/>
    </xf>
    <xf numFmtId="41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165" fontId="13" fillId="0" borderId="0" xfId="17" applyNumberFormat="1" applyFont="1" applyAlignment="1">
      <alignment horizontal="right"/>
    </xf>
    <xf numFmtId="41" fontId="22" fillId="0" borderId="0" xfId="0" applyNumberFormat="1" applyFont="1" applyAlignment="1">
      <alignment horizontal="center"/>
    </xf>
    <xf numFmtId="165" fontId="23" fillId="0" borderId="0" xfId="17" applyNumberFormat="1" applyFont="1" applyAlignment="1">
      <alignment horizont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 horizontal="right"/>
    </xf>
    <xf numFmtId="5" fontId="1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/>
    </xf>
    <xf numFmtId="41" fontId="8" fillId="0" borderId="0" xfId="0" applyNumberFormat="1" applyFont="1" applyBorder="1" applyAlignment="1">
      <alignment horizontal="right"/>
    </xf>
    <xf numFmtId="0" fontId="19" fillId="0" borderId="0" xfId="0" applyFont="1" applyAlignment="1">
      <alignment vertical="top"/>
    </xf>
    <xf numFmtId="165" fontId="8" fillId="0" borderId="0" xfId="17" applyNumberFormat="1" applyFont="1" applyBorder="1" applyAlignment="1">
      <alignment horizontal="right"/>
    </xf>
    <xf numFmtId="8" fontId="20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right"/>
    </xf>
    <xf numFmtId="165" fontId="8" fillId="0" borderId="0" xfId="17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41" fontId="12" fillId="0" borderId="0" xfId="0" applyNumberFormat="1" applyFont="1" applyBorder="1" applyAlignment="1">
      <alignment horizontal="right"/>
    </xf>
    <xf numFmtId="0" fontId="26" fillId="0" borderId="0" xfId="0" applyFont="1" applyAlignment="1">
      <alignment vertical="top"/>
    </xf>
    <xf numFmtId="43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1" fontId="12" fillId="0" borderId="0" xfId="0" applyNumberFormat="1" applyFont="1" applyBorder="1" applyAlignment="1">
      <alignment horizontal="right"/>
    </xf>
    <xf numFmtId="165" fontId="12" fillId="0" borderId="0" xfId="17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2" fillId="0" borderId="0" xfId="0" applyFont="1" applyAlignment="1">
      <alignment vertical="top" wrapText="1"/>
    </xf>
    <xf numFmtId="41" fontId="28" fillId="0" borderId="0" xfId="0" applyNumberFormat="1" applyFont="1" applyBorder="1" applyAlignment="1">
      <alignment horizontal="right"/>
    </xf>
    <xf numFmtId="5" fontId="21" fillId="0" borderId="0" xfId="0" applyNumberFormat="1" applyFont="1" applyBorder="1" applyAlignment="1">
      <alignment horizontal="right" vertical="top"/>
    </xf>
    <xf numFmtId="165" fontId="29" fillId="0" borderId="0" xfId="17" applyNumberFormat="1" applyFont="1" applyBorder="1" applyAlignment="1">
      <alignment horizontal="right"/>
    </xf>
    <xf numFmtId="6" fontId="2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41" fontId="30" fillId="0" borderId="0" xfId="15" applyNumberFormat="1" applyFont="1" applyBorder="1" applyAlignment="1">
      <alignment/>
    </xf>
    <xf numFmtId="164" fontId="0" fillId="0" borderId="0" xfId="15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6" fontId="1" fillId="0" borderId="14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6" fontId="4" fillId="0" borderId="0" xfId="0" applyNumberFormat="1" applyFont="1" applyAlignment="1">
      <alignment/>
    </xf>
    <xf numFmtId="6" fontId="31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164" fontId="33" fillId="0" borderId="0" xfId="15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6" borderId="0" xfId="0" applyFont="1" applyFill="1" applyAlignment="1">
      <alignment/>
    </xf>
    <xf numFmtId="10" fontId="13" fillId="0" borderId="0" xfId="20" applyNumberFormat="1" applyFont="1" applyAlignment="1">
      <alignment/>
    </xf>
    <xf numFmtId="167" fontId="10" fillId="2" borderId="0" xfId="15" applyNumberFormat="1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8" borderId="1" xfId="0" applyFont="1" applyFill="1" applyBorder="1" applyAlignment="1">
      <alignment/>
    </xf>
    <xf numFmtId="0" fontId="8" fillId="8" borderId="3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6" borderId="0" xfId="0" applyFont="1" applyFill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0" fontId="8" fillId="8" borderId="0" xfId="0" applyFont="1" applyFill="1" applyAlignment="1">
      <alignment horizontal="right" wrapText="1"/>
    </xf>
    <xf numFmtId="0" fontId="8" fillId="9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8" borderId="4" xfId="0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167" fontId="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34" fillId="0" borderId="0" xfId="0" applyNumberFormat="1" applyFont="1" applyFill="1" applyAlignment="1">
      <alignment horizontal="center"/>
    </xf>
    <xf numFmtId="167" fontId="34" fillId="2" borderId="0" xfId="0" applyNumberFormat="1" applyFont="1" applyFill="1" applyAlignment="1">
      <alignment horizontal="center"/>
    </xf>
    <xf numFmtId="167" fontId="34" fillId="6" borderId="0" xfId="0" applyNumberFormat="1" applyFont="1" applyFill="1" applyAlignment="1">
      <alignment horizontal="center"/>
    </xf>
    <xf numFmtId="167" fontId="34" fillId="3" borderId="4" xfId="0" applyNumberFormat="1" applyFont="1" applyFill="1" applyBorder="1" applyAlignment="1">
      <alignment horizontal="center"/>
    </xf>
    <xf numFmtId="167" fontId="34" fillId="3" borderId="5" xfId="0" applyNumberFormat="1" applyFont="1" applyFill="1" applyBorder="1" applyAlignment="1">
      <alignment horizontal="center"/>
    </xf>
    <xf numFmtId="167" fontId="34" fillId="8" borderId="0" xfId="0" applyNumberFormat="1" applyFont="1" applyFill="1" applyAlignment="1">
      <alignment horizontal="center"/>
    </xf>
    <xf numFmtId="167" fontId="34" fillId="9" borderId="0" xfId="0" applyNumberFormat="1" applyFont="1" applyFill="1" applyAlignment="1">
      <alignment horizontal="center"/>
    </xf>
    <xf numFmtId="167" fontId="35" fillId="0" borderId="0" xfId="0" applyNumberFormat="1" applyFont="1" applyAlignment="1">
      <alignment horizontal="center"/>
    </xf>
    <xf numFmtId="0" fontId="1" fillId="8" borderId="4" xfId="0" applyFont="1" applyFill="1" applyBorder="1" applyAlignment="1">
      <alignment/>
    </xf>
    <xf numFmtId="164" fontId="1" fillId="8" borderId="5" xfId="15" applyNumberFormat="1" applyFont="1" applyFill="1" applyBorder="1" applyAlignment="1">
      <alignment/>
    </xf>
    <xf numFmtId="167" fontId="14" fillId="0" borderId="0" xfId="0" applyNumberFormat="1" applyFont="1" applyAlignment="1">
      <alignment horizontal="center"/>
    </xf>
    <xf numFmtId="167" fontId="35" fillId="0" borderId="0" xfId="0" applyNumberFormat="1" applyFont="1" applyFill="1" applyAlignment="1">
      <alignment horizontal="center"/>
    </xf>
    <xf numFmtId="167" fontId="35" fillId="2" borderId="0" xfId="0" applyNumberFormat="1" applyFont="1" applyFill="1" applyAlignment="1">
      <alignment horizontal="center"/>
    </xf>
    <xf numFmtId="167" fontId="35" fillId="6" borderId="0" xfId="0" applyNumberFormat="1" applyFont="1" applyFill="1" applyAlignment="1">
      <alignment horizontal="center"/>
    </xf>
    <xf numFmtId="167" fontId="35" fillId="3" borderId="4" xfId="0" applyNumberFormat="1" applyFont="1" applyFill="1" applyBorder="1" applyAlignment="1">
      <alignment horizontal="center"/>
    </xf>
    <xf numFmtId="167" fontId="35" fillId="3" borderId="5" xfId="0" applyNumberFormat="1" applyFont="1" applyFill="1" applyBorder="1" applyAlignment="1">
      <alignment horizontal="center"/>
    </xf>
    <xf numFmtId="167" fontId="35" fillId="8" borderId="0" xfId="0" applyNumberFormat="1" applyFont="1" applyFill="1" applyAlignment="1">
      <alignment horizontal="center"/>
    </xf>
    <xf numFmtId="167" fontId="35" fillId="9" borderId="0" xfId="0" applyNumberFormat="1" applyFont="1" applyFill="1" applyAlignment="1">
      <alignment horizontal="center"/>
    </xf>
    <xf numFmtId="164" fontId="4" fillId="8" borderId="5" xfId="0" applyNumberFormat="1" applyFont="1" applyFill="1" applyBorder="1" applyAlignment="1">
      <alignment wrapText="1"/>
    </xf>
    <xf numFmtId="167" fontId="8" fillId="0" borderId="0" xfId="0" applyNumberFormat="1" applyFont="1" applyBorder="1" applyAlignment="1">
      <alignment horizontal="right"/>
    </xf>
    <xf numFmtId="0" fontId="1" fillId="8" borderId="5" xfId="0" applyFont="1" applyFill="1" applyBorder="1" applyAlignment="1">
      <alignment/>
    </xf>
    <xf numFmtId="164" fontId="35" fillId="0" borderId="0" xfId="15" applyNumberFormat="1" applyFont="1" applyAlignment="1">
      <alignment horizontal="center"/>
    </xf>
    <xf numFmtId="164" fontId="36" fillId="0" borderId="0" xfId="15" applyNumberFormat="1" applyFont="1" applyFill="1" applyAlignment="1">
      <alignment horizontal="center"/>
    </xf>
    <xf numFmtId="164" fontId="36" fillId="6" borderId="0" xfId="15" applyNumberFormat="1" applyFont="1" applyFill="1" applyAlignment="1">
      <alignment horizontal="center"/>
    </xf>
    <xf numFmtId="164" fontId="36" fillId="3" borderId="4" xfId="15" applyNumberFormat="1" applyFont="1" applyFill="1" applyBorder="1" applyAlignment="1">
      <alignment horizontal="center"/>
    </xf>
    <xf numFmtId="164" fontId="36" fillId="3" borderId="5" xfId="15" applyNumberFormat="1" applyFont="1" applyFill="1" applyBorder="1" applyAlignment="1">
      <alignment horizontal="center"/>
    </xf>
    <xf numFmtId="164" fontId="36" fillId="8" borderId="0" xfId="15" applyNumberFormat="1" applyFont="1" applyFill="1" applyAlignment="1">
      <alignment horizontal="center"/>
    </xf>
    <xf numFmtId="164" fontId="36" fillId="9" borderId="0" xfId="15" applyNumberFormat="1" applyFont="1" applyFill="1" applyAlignment="1">
      <alignment horizontal="center"/>
    </xf>
    <xf numFmtId="0" fontId="1" fillId="8" borderId="6" xfId="0" applyFont="1" applyFill="1" applyBorder="1" applyAlignment="1">
      <alignment/>
    </xf>
    <xf numFmtId="166" fontId="1" fillId="8" borderId="8" xfId="20" applyNumberFormat="1" applyFont="1" applyFill="1" applyBorder="1" applyAlignment="1">
      <alignment/>
    </xf>
    <xf numFmtId="166" fontId="8" fillId="0" borderId="0" xfId="20" applyNumberFormat="1" applyFont="1" applyAlignment="1">
      <alignment/>
    </xf>
    <xf numFmtId="3" fontId="37" fillId="0" borderId="0" xfId="0" applyNumberFormat="1" applyFont="1" applyBorder="1" applyAlignment="1">
      <alignment horizontal="left"/>
    </xf>
    <xf numFmtId="167" fontId="13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4" fontId="35" fillId="0" borderId="0" xfId="15" applyNumberFormat="1" applyFont="1" applyFill="1" applyAlignment="1">
      <alignment horizontal="center"/>
    </xf>
    <xf numFmtId="164" fontId="35" fillId="2" borderId="0" xfId="15" applyNumberFormat="1" applyFont="1" applyFill="1" applyAlignment="1">
      <alignment horizontal="center"/>
    </xf>
    <xf numFmtId="164" fontId="35" fillId="6" borderId="0" xfId="15" applyNumberFormat="1" applyFont="1" applyFill="1" applyAlignment="1">
      <alignment horizontal="center"/>
    </xf>
    <xf numFmtId="164" fontId="35" fillId="3" borderId="4" xfId="15" applyNumberFormat="1" applyFont="1" applyFill="1" applyBorder="1" applyAlignment="1">
      <alignment horizontal="center"/>
    </xf>
    <xf numFmtId="164" fontId="35" fillId="3" borderId="5" xfId="15" applyNumberFormat="1" applyFont="1" applyFill="1" applyBorder="1" applyAlignment="1">
      <alignment horizontal="center"/>
    </xf>
    <xf numFmtId="164" fontId="35" fillId="8" borderId="0" xfId="15" applyNumberFormat="1" applyFont="1" applyFill="1" applyAlignment="1">
      <alignment horizontal="center"/>
    </xf>
    <xf numFmtId="164" fontId="35" fillId="9" borderId="0" xfId="15" applyNumberFormat="1" applyFont="1" applyFill="1" applyAlignment="1">
      <alignment horizontal="center"/>
    </xf>
    <xf numFmtId="3" fontId="37" fillId="0" borderId="0" xfId="0" applyNumberFormat="1" applyFont="1" applyBorder="1" applyAlignment="1">
      <alignment horizontal="left" wrapText="1"/>
    </xf>
    <xf numFmtId="167" fontId="13" fillId="0" borderId="0" xfId="0" applyNumberFormat="1" applyFont="1" applyBorder="1" applyAlignment="1">
      <alignment horizontal="right" wrapText="1"/>
    </xf>
    <xf numFmtId="167" fontId="11" fillId="0" borderId="0" xfId="0" applyNumberFormat="1" applyFont="1" applyAlignment="1">
      <alignment horizontal="center" wrapText="1"/>
    </xf>
    <xf numFmtId="167" fontId="14" fillId="0" borderId="0" xfId="0" applyNumberFormat="1" applyFont="1" applyAlignment="1">
      <alignment horizontal="center" wrapText="1"/>
    </xf>
    <xf numFmtId="167" fontId="12" fillId="0" borderId="0" xfId="0" applyNumberFormat="1" applyFont="1" applyAlignment="1">
      <alignment horizontal="center" wrapText="1"/>
    </xf>
    <xf numFmtId="164" fontId="35" fillId="0" borderId="0" xfId="15" applyNumberFormat="1" applyFont="1" applyAlignment="1">
      <alignment horizontal="center" wrapText="1"/>
    </xf>
    <xf numFmtId="164" fontId="35" fillId="0" borderId="0" xfId="15" applyNumberFormat="1" applyFont="1" applyAlignment="1">
      <alignment horizontal="right" wrapText="1"/>
    </xf>
    <xf numFmtId="164" fontId="35" fillId="0" borderId="0" xfId="15" applyNumberFormat="1" applyFont="1" applyFill="1" applyAlignment="1">
      <alignment horizontal="center" wrapText="1"/>
    </xf>
    <xf numFmtId="164" fontId="35" fillId="2" borderId="0" xfId="15" applyNumberFormat="1" applyFont="1" applyFill="1" applyAlignment="1">
      <alignment horizontal="center" wrapText="1"/>
    </xf>
    <xf numFmtId="164" fontId="38" fillId="6" borderId="0" xfId="15" applyNumberFormat="1" applyFont="1" applyFill="1" applyAlignment="1">
      <alignment horizontal="center" wrapText="1"/>
    </xf>
    <xf numFmtId="164" fontId="35" fillId="6" borderId="0" xfId="15" applyNumberFormat="1" applyFont="1" applyFill="1" applyAlignment="1">
      <alignment horizontal="center" wrapText="1"/>
    </xf>
    <xf numFmtId="164" fontId="35" fillId="3" borderId="4" xfId="15" applyNumberFormat="1" applyFont="1" applyFill="1" applyBorder="1" applyAlignment="1">
      <alignment horizontal="center" wrapText="1"/>
    </xf>
    <xf numFmtId="164" fontId="35" fillId="3" borderId="5" xfId="15" applyNumberFormat="1" applyFont="1" applyFill="1" applyBorder="1" applyAlignment="1">
      <alignment horizontal="center" wrapText="1"/>
    </xf>
    <xf numFmtId="164" fontId="35" fillId="8" borderId="0" xfId="15" applyNumberFormat="1" applyFont="1" applyFill="1" applyAlignment="1">
      <alignment horizontal="center" wrapText="1"/>
    </xf>
    <xf numFmtId="164" fontId="35" fillId="9" borderId="0" xfId="15" applyNumberFormat="1" applyFont="1" applyFill="1" applyAlignment="1">
      <alignment horizontal="center" wrapText="1"/>
    </xf>
    <xf numFmtId="167" fontId="35" fillId="0" borderId="0" xfId="0" applyNumberFormat="1" applyFont="1" applyAlignment="1">
      <alignment horizontal="center" wrapText="1"/>
    </xf>
    <xf numFmtId="0" fontId="19" fillId="0" borderId="0" xfId="0" applyFont="1" applyBorder="1" applyAlignment="1">
      <alignment/>
    </xf>
    <xf numFmtId="167" fontId="1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7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center"/>
    </xf>
    <xf numFmtId="167" fontId="13" fillId="0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center"/>
    </xf>
    <xf numFmtId="167" fontId="13" fillId="6" borderId="0" xfId="0" applyNumberFormat="1" applyFont="1" applyFill="1" applyAlignment="1">
      <alignment horizontal="center"/>
    </xf>
    <xf numFmtId="167" fontId="39" fillId="6" borderId="0" xfId="0" applyNumberFormat="1" applyFont="1" applyFill="1" applyAlignment="1">
      <alignment horizontal="left"/>
    </xf>
    <xf numFmtId="167" fontId="39" fillId="6" borderId="0" xfId="0" applyNumberFormat="1" applyFont="1" applyFill="1" applyAlignment="1">
      <alignment horizontal="center"/>
    </xf>
    <xf numFmtId="167" fontId="13" fillId="3" borderId="4" xfId="0" applyNumberFormat="1" applyFont="1" applyFill="1" applyBorder="1" applyAlignment="1">
      <alignment horizontal="center"/>
    </xf>
    <xf numFmtId="167" fontId="13" fillId="3" borderId="5" xfId="0" applyNumberFormat="1" applyFont="1" applyFill="1" applyBorder="1" applyAlignment="1">
      <alignment horizontal="center"/>
    </xf>
    <xf numFmtId="167" fontId="13" fillId="8" borderId="0" xfId="0" applyNumberFormat="1" applyFont="1" applyFill="1" applyAlignment="1">
      <alignment horizontal="center"/>
    </xf>
    <xf numFmtId="167" fontId="13" fillId="9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left"/>
    </xf>
    <xf numFmtId="167" fontId="13" fillId="8" borderId="16" xfId="0" applyNumberFormat="1" applyFont="1" applyFill="1" applyBorder="1" applyAlignment="1">
      <alignment horizontal="center"/>
    </xf>
    <xf numFmtId="167" fontId="13" fillId="8" borderId="17" xfId="0" applyNumberFormat="1" applyFont="1" applyFill="1" applyBorder="1" applyAlignment="1">
      <alignment horizontal="left"/>
    </xf>
    <xf numFmtId="167" fontId="13" fillId="8" borderId="17" xfId="0" applyNumberFormat="1" applyFont="1" applyFill="1" applyBorder="1" applyAlignment="1">
      <alignment horizontal="center"/>
    </xf>
    <xf numFmtId="167" fontId="39" fillId="6" borderId="0" xfId="0" applyNumberFormat="1" applyFont="1" applyFill="1" applyAlignment="1">
      <alignment/>
    </xf>
    <xf numFmtId="167" fontId="35" fillId="0" borderId="0" xfId="19" applyNumberFormat="1" applyFont="1" applyAlignment="1">
      <alignment horizontal="center"/>
      <protection/>
    </xf>
    <xf numFmtId="167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center"/>
    </xf>
    <xf numFmtId="167" fontId="8" fillId="8" borderId="17" xfId="0" applyNumberFormat="1" applyFont="1" applyFill="1" applyBorder="1" applyAlignment="1">
      <alignment horizontal="center"/>
    </xf>
    <xf numFmtId="167" fontId="41" fillId="6" borderId="0" xfId="0" applyNumberFormat="1" applyFont="1" applyFill="1" applyAlignment="1">
      <alignment horizontal="left"/>
    </xf>
    <xf numFmtId="167" fontId="8" fillId="6" borderId="0" xfId="0" applyNumberFormat="1" applyFont="1" applyFill="1" applyAlignment="1">
      <alignment horizontal="center"/>
    </xf>
    <xf numFmtId="167" fontId="8" fillId="3" borderId="4" xfId="0" applyNumberFormat="1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center"/>
    </xf>
    <xf numFmtId="167" fontId="8" fillId="8" borderId="0" xfId="0" applyNumberFormat="1" applyFont="1" applyFill="1" applyAlignment="1">
      <alignment horizontal="center"/>
    </xf>
    <xf numFmtId="167" fontId="8" fillId="9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left"/>
    </xf>
    <xf numFmtId="167" fontId="8" fillId="0" borderId="18" xfId="0" applyNumberFormat="1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8" fillId="8" borderId="17" xfId="0" applyNumberFormat="1" applyFont="1" applyFill="1" applyBorder="1" applyAlignment="1">
      <alignment horizontal="right"/>
    </xf>
    <xf numFmtId="167" fontId="8" fillId="6" borderId="0" xfId="0" applyNumberFormat="1" applyFont="1" applyFill="1" applyAlignment="1">
      <alignment horizontal="right"/>
    </xf>
    <xf numFmtId="167" fontId="8" fillId="3" borderId="4" xfId="0" applyNumberFormat="1" applyFont="1" applyFill="1" applyBorder="1" applyAlignment="1">
      <alignment horizontal="right"/>
    </xf>
    <xf numFmtId="167" fontId="8" fillId="3" borderId="5" xfId="0" applyNumberFormat="1" applyFont="1" applyFill="1" applyBorder="1" applyAlignment="1">
      <alignment horizontal="right"/>
    </xf>
    <xf numFmtId="167" fontId="8" fillId="8" borderId="0" xfId="0" applyNumberFormat="1" applyFont="1" applyFill="1" applyAlignment="1">
      <alignment horizontal="right"/>
    </xf>
    <xf numFmtId="167" fontId="8" fillId="9" borderId="0" xfId="0" applyNumberFormat="1" applyFont="1" applyFill="1" applyAlignment="1">
      <alignment horizontal="right"/>
    </xf>
    <xf numFmtId="167" fontId="42" fillId="6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left"/>
    </xf>
    <xf numFmtId="164" fontId="12" fillId="0" borderId="0" xfId="15" applyNumberFormat="1" applyFont="1" applyAlignment="1">
      <alignment horizontal="righ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Alignment="1">
      <alignment/>
    </xf>
    <xf numFmtId="0" fontId="19" fillId="0" borderId="0" xfId="0" applyFont="1" applyAlignment="1">
      <alignment horizontal="left"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7" fontId="13" fillId="0" borderId="0" xfId="0" applyNumberFormat="1" applyFont="1" applyBorder="1" applyAlignment="1">
      <alignment horizontal="center"/>
    </xf>
    <xf numFmtId="167" fontId="13" fillId="0" borderId="0" xfId="0" applyNumberFormat="1" applyFont="1" applyFill="1" applyBorder="1" applyAlignment="1">
      <alignment horizontal="right"/>
    </xf>
    <xf numFmtId="167" fontId="13" fillId="2" borderId="0" xfId="0" applyNumberFormat="1" applyFont="1" applyFill="1" applyBorder="1" applyAlignment="1">
      <alignment horizontal="right"/>
    </xf>
    <xf numFmtId="167" fontId="13" fillId="8" borderId="17" xfId="0" applyNumberFormat="1" applyFont="1" applyFill="1" applyBorder="1" applyAlignment="1">
      <alignment horizontal="right"/>
    </xf>
    <xf numFmtId="167" fontId="13" fillId="6" borderId="0" xfId="0" applyNumberFormat="1" applyFont="1" applyFill="1" applyBorder="1" applyAlignment="1">
      <alignment horizontal="right"/>
    </xf>
    <xf numFmtId="167" fontId="13" fillId="3" borderId="4" xfId="0" applyNumberFormat="1" applyFont="1" applyFill="1" applyBorder="1" applyAlignment="1">
      <alignment horizontal="right"/>
    </xf>
    <xf numFmtId="167" fontId="13" fillId="3" borderId="5" xfId="0" applyNumberFormat="1" applyFont="1" applyFill="1" applyBorder="1" applyAlignment="1">
      <alignment horizontal="right"/>
    </xf>
    <xf numFmtId="167" fontId="13" fillId="8" borderId="0" xfId="0" applyNumberFormat="1" applyFont="1" applyFill="1" applyBorder="1" applyAlignment="1">
      <alignment horizontal="right"/>
    </xf>
    <xf numFmtId="167" fontId="13" fillId="9" borderId="0" xfId="0" applyNumberFormat="1" applyFont="1" applyFill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6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right"/>
    </xf>
    <xf numFmtId="167" fontId="39" fillId="2" borderId="0" xfId="0" applyNumberFormat="1" applyFont="1" applyFill="1" applyBorder="1" applyAlignment="1">
      <alignment horizontal="left"/>
    </xf>
    <xf numFmtId="167" fontId="13" fillId="6" borderId="0" xfId="0" applyNumberFormat="1" applyFont="1" applyFill="1" applyAlignment="1">
      <alignment horizontal="right"/>
    </xf>
    <xf numFmtId="167" fontId="13" fillId="8" borderId="0" xfId="0" applyNumberFormat="1" applyFont="1" applyFill="1" applyAlignment="1">
      <alignment horizontal="right"/>
    </xf>
    <xf numFmtId="167" fontId="13" fillId="9" borderId="0" xfId="0" applyNumberFormat="1" applyFont="1" applyFill="1" applyAlignment="1">
      <alignment horizontal="right"/>
    </xf>
    <xf numFmtId="167" fontId="13" fillId="0" borderId="0" xfId="0" applyNumberFormat="1" applyFont="1" applyAlignment="1">
      <alignment/>
    </xf>
    <xf numFmtId="167" fontId="13" fillId="6" borderId="0" xfId="0" applyNumberFormat="1" applyFont="1" applyFill="1" applyAlignment="1">
      <alignment horizontal="left"/>
    </xf>
    <xf numFmtId="167" fontId="8" fillId="9" borderId="0" xfId="0" applyNumberFormat="1" applyFont="1" applyFill="1" applyBorder="1" applyAlignment="1">
      <alignment horizontal="center"/>
    </xf>
    <xf numFmtId="167" fontId="13" fillId="6" borderId="0" xfId="0" applyNumberFormat="1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8" borderId="17" xfId="0" applyFont="1" applyFill="1" applyBorder="1" applyAlignment="1">
      <alignment/>
    </xf>
    <xf numFmtId="0" fontId="8" fillId="8" borderId="0" xfId="0" applyFont="1" applyFill="1" applyAlignment="1">
      <alignment/>
    </xf>
    <xf numFmtId="0" fontId="8" fillId="9" borderId="0" xfId="0" applyFont="1" applyFill="1" applyAlignment="1">
      <alignment/>
    </xf>
    <xf numFmtId="0" fontId="21" fillId="0" borderId="0" xfId="19" applyFont="1">
      <alignment/>
      <protection/>
    </xf>
    <xf numFmtId="167" fontId="8" fillId="0" borderId="0" xfId="19" applyNumberFormat="1" applyFont="1" applyAlignment="1">
      <alignment horizontal="right"/>
      <protection/>
    </xf>
    <xf numFmtId="167" fontId="8" fillId="0" borderId="0" xfId="19" applyNumberFormat="1" applyFont="1" applyAlignment="1">
      <alignment horizontal="center"/>
      <protection/>
    </xf>
    <xf numFmtId="167" fontId="13" fillId="0" borderId="0" xfId="19" applyNumberFormat="1" applyFont="1" applyAlignment="1">
      <alignment horizontal="right"/>
      <protection/>
    </xf>
    <xf numFmtId="167" fontId="13" fillId="0" borderId="0" xfId="19" applyNumberFormat="1" applyFont="1" applyAlignment="1">
      <alignment horizontal="center"/>
      <protection/>
    </xf>
    <xf numFmtId="167" fontId="13" fillId="0" borderId="0" xfId="19" applyNumberFormat="1" applyFont="1" applyFill="1" applyAlignment="1">
      <alignment horizontal="right"/>
      <protection/>
    </xf>
    <xf numFmtId="167" fontId="43" fillId="0" borderId="0" xfId="19" applyNumberFormat="1" applyFont="1" applyAlignment="1">
      <alignment horizontal="left"/>
      <protection/>
    </xf>
    <xf numFmtId="167" fontId="13" fillId="2" borderId="0" xfId="19" applyNumberFormat="1" applyFont="1" applyFill="1" applyAlignment="1">
      <alignment horizontal="center"/>
      <protection/>
    </xf>
    <xf numFmtId="167" fontId="13" fillId="8" borderId="17" xfId="19" applyNumberFormat="1" applyFont="1" applyFill="1" applyBorder="1" applyAlignment="1">
      <alignment horizontal="center"/>
      <protection/>
    </xf>
    <xf numFmtId="167" fontId="13" fillId="6" borderId="0" xfId="19" applyNumberFormat="1" applyFont="1" applyFill="1" applyAlignment="1">
      <alignment horizontal="left"/>
      <protection/>
    </xf>
    <xf numFmtId="167" fontId="13" fillId="6" borderId="0" xfId="19" applyNumberFormat="1" applyFont="1" applyFill="1" applyAlignment="1">
      <alignment horizontal="center"/>
      <protection/>
    </xf>
    <xf numFmtId="167" fontId="13" fillId="3" borderId="4" xfId="19" applyNumberFormat="1" applyFont="1" applyFill="1" applyBorder="1" applyAlignment="1">
      <alignment horizontal="center"/>
      <protection/>
    </xf>
    <xf numFmtId="167" fontId="13" fillId="3" borderId="5" xfId="19" applyNumberFormat="1" applyFont="1" applyFill="1" applyBorder="1" applyAlignment="1">
      <alignment horizontal="center"/>
      <protection/>
    </xf>
    <xf numFmtId="167" fontId="13" fillId="8" borderId="0" xfId="19" applyNumberFormat="1" applyFont="1" applyFill="1" applyAlignment="1">
      <alignment horizontal="center"/>
      <protection/>
    </xf>
    <xf numFmtId="167" fontId="13" fillId="9" borderId="0" xfId="19" applyNumberFormat="1" applyFont="1" applyFill="1" applyAlignment="1">
      <alignment horizontal="center"/>
      <protection/>
    </xf>
    <xf numFmtId="167" fontId="34" fillId="0" borderId="0" xfId="19" applyNumberFormat="1" applyFont="1" applyAlignment="1">
      <alignment horizontal="center"/>
      <protection/>
    </xf>
    <xf numFmtId="0" fontId="44" fillId="0" borderId="0" xfId="19" applyFont="1">
      <alignment/>
      <protection/>
    </xf>
    <xf numFmtId="167" fontId="13" fillId="3" borderId="0" xfId="19" applyNumberFormat="1" applyFont="1" applyFill="1" applyBorder="1" applyAlignment="1">
      <alignment horizontal="left"/>
      <protection/>
    </xf>
    <xf numFmtId="167" fontId="13" fillId="3" borderId="0" xfId="19" applyNumberFormat="1" applyFont="1" applyFill="1" applyBorder="1" applyAlignment="1">
      <alignment horizontal="center"/>
      <protection/>
    </xf>
    <xf numFmtId="167" fontId="43" fillId="0" borderId="0" xfId="19" applyNumberFormat="1" applyFont="1" applyAlignment="1">
      <alignment horizontal="center"/>
      <protection/>
    </xf>
    <xf numFmtId="167" fontId="44" fillId="0" borderId="0" xfId="19" applyNumberFormat="1" applyFont="1" applyAlignment="1">
      <alignment horizontal="left"/>
      <protection/>
    </xf>
    <xf numFmtId="167" fontId="11" fillId="0" borderId="0" xfId="19" applyNumberFormat="1" applyFont="1" applyAlignment="1">
      <alignment horizontal="center"/>
      <protection/>
    </xf>
    <xf numFmtId="167" fontId="11" fillId="0" borderId="0" xfId="19" applyNumberFormat="1" applyFont="1" applyAlignment="1">
      <alignment horizontal="right"/>
      <protection/>
    </xf>
    <xf numFmtId="6" fontId="13" fillId="0" borderId="0" xfId="19" applyNumberFormat="1" applyFont="1" applyAlignment="1">
      <alignment horizontal="right"/>
      <protection/>
    </xf>
    <xf numFmtId="167" fontId="11" fillId="0" borderId="0" xfId="19" applyNumberFormat="1" applyFont="1" applyFill="1" applyAlignment="1">
      <alignment horizontal="right"/>
      <protection/>
    </xf>
    <xf numFmtId="167" fontId="11" fillId="2" borderId="0" xfId="19" applyNumberFormat="1" applyFont="1" applyFill="1" applyAlignment="1">
      <alignment horizontal="center"/>
      <protection/>
    </xf>
    <xf numFmtId="167" fontId="11" fillId="6" borderId="0" xfId="19" applyNumberFormat="1" applyFont="1" applyFill="1" applyAlignment="1">
      <alignment horizontal="left"/>
      <protection/>
    </xf>
    <xf numFmtId="167" fontId="11" fillId="6" borderId="0" xfId="19" applyNumberFormat="1" applyFont="1" applyFill="1" applyAlignment="1">
      <alignment horizontal="center"/>
      <protection/>
    </xf>
    <xf numFmtId="167" fontId="11" fillId="3" borderId="4" xfId="19" applyNumberFormat="1" applyFont="1" applyFill="1" applyBorder="1" applyAlignment="1">
      <alignment horizontal="center"/>
      <protection/>
    </xf>
    <xf numFmtId="167" fontId="11" fillId="3" borderId="5" xfId="19" applyNumberFormat="1" applyFont="1" applyFill="1" applyBorder="1" applyAlignment="1">
      <alignment horizontal="center"/>
      <protection/>
    </xf>
    <xf numFmtId="167" fontId="11" fillId="8" borderId="0" xfId="19" applyNumberFormat="1" applyFont="1" applyFill="1" applyAlignment="1">
      <alignment horizontal="center"/>
      <protection/>
    </xf>
    <xf numFmtId="167" fontId="11" fillId="9" borderId="0" xfId="19" applyNumberFormat="1" applyFont="1" applyFill="1" applyAlignment="1">
      <alignment horizontal="center"/>
      <protection/>
    </xf>
    <xf numFmtId="168" fontId="34" fillId="0" borderId="0" xfId="19" applyNumberFormat="1" applyFont="1" applyAlignment="1">
      <alignment horizontal="left"/>
      <protection/>
    </xf>
    <xf numFmtId="168" fontId="43" fillId="0" borderId="0" xfId="19" applyNumberFormat="1" applyFont="1" applyAlignment="1">
      <alignment horizontal="left"/>
      <protection/>
    </xf>
    <xf numFmtId="167" fontId="11" fillId="8" borderId="17" xfId="19" applyNumberFormat="1" applyFont="1" applyFill="1" applyBorder="1" applyAlignment="1">
      <alignment horizontal="center"/>
      <protection/>
    </xf>
    <xf numFmtId="167" fontId="13" fillId="2" borderId="0" xfId="19" applyNumberFormat="1" applyFont="1" applyFill="1" applyAlignment="1">
      <alignment horizontal="right"/>
      <protection/>
    </xf>
    <xf numFmtId="167" fontId="13" fillId="8" borderId="17" xfId="19" applyNumberFormat="1" applyFont="1" applyFill="1" applyBorder="1" applyAlignment="1">
      <alignment horizontal="right"/>
      <protection/>
    </xf>
    <xf numFmtId="167" fontId="13" fillId="6" borderId="0" xfId="19" applyNumberFormat="1" applyFont="1" applyFill="1" applyAlignment="1">
      <alignment horizontal="right"/>
      <protection/>
    </xf>
    <xf numFmtId="167" fontId="13" fillId="3" borderId="0" xfId="19" applyNumberFormat="1" applyFont="1" applyFill="1" applyAlignment="1">
      <alignment horizontal="right"/>
      <protection/>
    </xf>
    <xf numFmtId="167" fontId="13" fillId="8" borderId="0" xfId="19" applyNumberFormat="1" applyFont="1" applyFill="1" applyAlignment="1">
      <alignment horizontal="right"/>
      <protection/>
    </xf>
    <xf numFmtId="167" fontId="13" fillId="9" borderId="0" xfId="19" applyNumberFormat="1" applyFont="1" applyFill="1" applyAlignment="1">
      <alignment horizontal="right"/>
      <protection/>
    </xf>
    <xf numFmtId="0" fontId="21" fillId="0" borderId="0" xfId="19" applyFont="1" applyAlignment="1">
      <alignment horizontal="right"/>
      <protection/>
    </xf>
    <xf numFmtId="167" fontId="13" fillId="3" borderId="4" xfId="19" applyNumberFormat="1" applyFont="1" applyFill="1" applyBorder="1" applyAlignment="1">
      <alignment horizontal="right"/>
      <protection/>
    </xf>
    <xf numFmtId="167" fontId="13" fillId="3" borderId="5" xfId="19" applyNumberFormat="1" applyFont="1" applyFill="1" applyBorder="1" applyAlignment="1">
      <alignment horizontal="right"/>
      <protection/>
    </xf>
    <xf numFmtId="167" fontId="13" fillId="3" borderId="6" xfId="19" applyNumberFormat="1" applyFont="1" applyFill="1" applyBorder="1" applyAlignment="1">
      <alignment horizontal="right"/>
      <protection/>
    </xf>
    <xf numFmtId="167" fontId="13" fillId="3" borderId="8" xfId="19" applyNumberFormat="1" applyFont="1" applyFill="1" applyBorder="1" applyAlignment="1">
      <alignment horizontal="right"/>
      <protection/>
    </xf>
    <xf numFmtId="167" fontId="13" fillId="8" borderId="19" xfId="19" applyNumberFormat="1" applyFont="1" applyFill="1" applyBorder="1" applyAlignment="1">
      <alignment horizontal="right"/>
      <protection/>
    </xf>
    <xf numFmtId="0" fontId="13" fillId="0" borderId="0" xfId="19" applyFont="1" applyBorder="1">
      <alignment/>
      <protection/>
    </xf>
    <xf numFmtId="167" fontId="8" fillId="0" borderId="0" xfId="19" applyNumberFormat="1" applyFont="1" applyBorder="1" applyAlignment="1">
      <alignment horizontal="right"/>
      <protection/>
    </xf>
    <xf numFmtId="167" fontId="8" fillId="0" borderId="0" xfId="19" applyNumberFormat="1" applyFont="1" applyBorder="1" applyAlignment="1">
      <alignment horizontal="center"/>
      <protection/>
    </xf>
    <xf numFmtId="167" fontId="13" fillId="0" borderId="0" xfId="19" applyNumberFormat="1" applyFont="1" applyBorder="1" applyAlignment="1">
      <alignment horizontal="right"/>
      <protection/>
    </xf>
    <xf numFmtId="167" fontId="13" fillId="0" borderId="0" xfId="19" applyNumberFormat="1" applyFont="1" applyBorder="1" applyAlignment="1">
      <alignment horizontal="center"/>
      <protection/>
    </xf>
    <xf numFmtId="0" fontId="8" fillId="0" borderId="0" xfId="19" applyFont="1">
      <alignment/>
      <protection/>
    </xf>
    <xf numFmtId="167" fontId="8" fillId="0" borderId="0" xfId="19" applyNumberFormat="1" applyFont="1" applyFill="1" applyAlignment="1">
      <alignment horizontal="right"/>
      <protection/>
    </xf>
    <xf numFmtId="167" fontId="8" fillId="0" borderId="0" xfId="19" applyNumberFormat="1" applyFont="1" applyFill="1" applyAlignment="1">
      <alignment horizontal="center"/>
      <protection/>
    </xf>
    <xf numFmtId="167" fontId="8" fillId="6" borderId="0" xfId="19" applyNumberFormat="1" applyFont="1" applyFill="1" applyAlignment="1">
      <alignment horizontal="center"/>
      <protection/>
    </xf>
    <xf numFmtId="167" fontId="8" fillId="8" borderId="0" xfId="19" applyNumberFormat="1" applyFont="1" applyFill="1" applyAlignment="1">
      <alignment horizontal="center"/>
      <protection/>
    </xf>
    <xf numFmtId="167" fontId="8" fillId="9" borderId="0" xfId="19" applyNumberFormat="1" applyFont="1" applyFill="1" applyAlignment="1">
      <alignment horizontal="center"/>
      <protection/>
    </xf>
    <xf numFmtId="167" fontId="13" fillId="0" borderId="0" xfId="19" applyNumberFormat="1" applyFont="1" applyFill="1" applyBorder="1" applyAlignment="1">
      <alignment horizontal="right"/>
      <protection/>
    </xf>
    <xf numFmtId="167" fontId="13" fillId="7" borderId="1" xfId="19" applyNumberFormat="1" applyFont="1" applyFill="1" applyBorder="1" applyAlignment="1">
      <alignment horizontal="center"/>
      <protection/>
    </xf>
    <xf numFmtId="167" fontId="13" fillId="6" borderId="2" xfId="19" applyNumberFormat="1" applyFont="1" applyFill="1" applyBorder="1" applyAlignment="1">
      <alignment horizontal="center"/>
      <protection/>
    </xf>
    <xf numFmtId="167" fontId="13" fillId="7" borderId="2" xfId="19" applyNumberFormat="1" applyFont="1" applyFill="1" applyBorder="1" applyAlignment="1">
      <alignment horizontal="center"/>
      <protection/>
    </xf>
    <xf numFmtId="167" fontId="13" fillId="8" borderId="2" xfId="19" applyNumberFormat="1" applyFont="1" applyFill="1" applyBorder="1" applyAlignment="1">
      <alignment horizontal="center"/>
      <protection/>
    </xf>
    <xf numFmtId="167" fontId="13" fillId="9" borderId="2" xfId="19" applyNumberFormat="1" applyFont="1" applyFill="1" applyBorder="1" applyAlignment="1">
      <alignment horizontal="center"/>
      <protection/>
    </xf>
    <xf numFmtId="167" fontId="34" fillId="7" borderId="3" xfId="19" applyNumberFormat="1" applyFont="1" applyFill="1" applyBorder="1" applyAlignment="1">
      <alignment horizontal="center"/>
      <protection/>
    </xf>
    <xf numFmtId="167" fontId="13" fillId="7" borderId="4" xfId="19" applyNumberFormat="1" applyFont="1" applyFill="1" applyBorder="1" applyAlignment="1">
      <alignment horizontal="center"/>
      <protection/>
    </xf>
    <xf numFmtId="167" fontId="13" fillId="6" borderId="0" xfId="19" applyNumberFormat="1" applyFont="1" applyFill="1" applyBorder="1" applyAlignment="1">
      <alignment horizontal="center"/>
      <protection/>
    </xf>
    <xf numFmtId="167" fontId="13" fillId="7" borderId="0" xfId="19" applyNumberFormat="1" applyFont="1" applyFill="1" applyBorder="1" applyAlignment="1">
      <alignment horizontal="center"/>
      <protection/>
    </xf>
    <xf numFmtId="167" fontId="13" fillId="8" borderId="0" xfId="19" applyNumberFormat="1" applyFont="1" applyFill="1" applyBorder="1" applyAlignment="1">
      <alignment horizontal="center"/>
      <protection/>
    </xf>
    <xf numFmtId="167" fontId="13" fillId="9" borderId="0" xfId="19" applyNumberFormat="1" applyFont="1" applyFill="1" applyBorder="1" applyAlignment="1">
      <alignment horizontal="center"/>
      <protection/>
    </xf>
    <xf numFmtId="0" fontId="8" fillId="7" borderId="0" xfId="0" applyFont="1" applyFill="1" applyBorder="1" applyAlignment="1">
      <alignment/>
    </xf>
    <xf numFmtId="167" fontId="34" fillId="7" borderId="5" xfId="19" applyNumberFormat="1" applyFont="1" applyFill="1" applyBorder="1" applyAlignment="1">
      <alignment horizontal="center"/>
      <protection/>
    </xf>
    <xf numFmtId="43" fontId="13" fillId="7" borderId="4" xfId="15" applyFont="1" applyFill="1" applyBorder="1" applyAlignment="1">
      <alignment horizontal="center"/>
    </xf>
    <xf numFmtId="43" fontId="13" fillId="6" borderId="0" xfId="15" applyFont="1" applyFill="1" applyBorder="1" applyAlignment="1">
      <alignment horizontal="center"/>
    </xf>
    <xf numFmtId="43" fontId="13" fillId="7" borderId="0" xfId="15" applyFont="1" applyFill="1" applyBorder="1" applyAlignment="1">
      <alignment horizontal="center"/>
    </xf>
    <xf numFmtId="43" fontId="13" fillId="8" borderId="0" xfId="15" applyFont="1" applyFill="1" applyBorder="1" applyAlignment="1">
      <alignment horizontal="center"/>
    </xf>
    <xf numFmtId="43" fontId="13" fillId="9" borderId="0" xfId="15" applyFont="1" applyFill="1" applyBorder="1" applyAlignment="1">
      <alignment horizontal="center"/>
    </xf>
    <xf numFmtId="167" fontId="13" fillId="7" borderId="6" xfId="19" applyNumberFormat="1" applyFont="1" applyFill="1" applyBorder="1" applyAlignment="1">
      <alignment horizontal="center"/>
      <protection/>
    </xf>
    <xf numFmtId="167" fontId="13" fillId="6" borderId="7" xfId="19" applyNumberFormat="1" applyFont="1" applyFill="1" applyBorder="1" applyAlignment="1">
      <alignment horizontal="center"/>
      <protection/>
    </xf>
    <xf numFmtId="167" fontId="13" fillId="7" borderId="7" xfId="19" applyNumberFormat="1" applyFont="1" applyFill="1" applyBorder="1" applyAlignment="1">
      <alignment horizontal="center"/>
      <protection/>
    </xf>
    <xf numFmtId="167" fontId="13" fillId="8" borderId="7" xfId="19" applyNumberFormat="1" applyFont="1" applyFill="1" applyBorder="1" applyAlignment="1">
      <alignment horizontal="center"/>
      <protection/>
    </xf>
    <xf numFmtId="167" fontId="13" fillId="9" borderId="7" xfId="19" applyNumberFormat="1" applyFont="1" applyFill="1" applyBorder="1" applyAlignment="1">
      <alignment horizontal="center"/>
      <protection/>
    </xf>
    <xf numFmtId="9" fontId="34" fillId="7" borderId="8" xfId="20" applyFont="1" applyFill="1" applyBorder="1" applyAlignment="1">
      <alignment horizontal="center"/>
    </xf>
    <xf numFmtId="0" fontId="13" fillId="0" borderId="0" xfId="19" applyFont="1">
      <alignment/>
      <protection/>
    </xf>
    <xf numFmtId="167" fontId="34" fillId="0" borderId="0" xfId="0" applyNumberFormat="1" applyFont="1" applyAlignment="1">
      <alignment horizontal="right"/>
    </xf>
    <xf numFmtId="167" fontId="34" fillId="0" borderId="0" xfId="0" applyNumberFormat="1" applyFont="1" applyFill="1" applyAlignment="1">
      <alignment horizontal="right"/>
    </xf>
    <xf numFmtId="0" fontId="4" fillId="0" borderId="1" xfId="19" applyFont="1" applyBorder="1">
      <alignment/>
      <protection/>
    </xf>
    <xf numFmtId="167" fontId="4" fillId="0" borderId="2" xfId="19" applyNumberFormat="1" applyFont="1" applyBorder="1" applyAlignment="1">
      <alignment horizontal="right"/>
      <protection/>
    </xf>
    <xf numFmtId="167" fontId="1" fillId="0" borderId="2" xfId="19" applyNumberFormat="1" applyFont="1" applyBorder="1" applyAlignment="1">
      <alignment horizontal="center"/>
      <protection/>
    </xf>
    <xf numFmtId="167" fontId="4" fillId="0" borderId="2" xfId="19" applyNumberFormat="1" applyFont="1" applyBorder="1" applyAlignment="1">
      <alignment horizontal="center"/>
      <protection/>
    </xf>
    <xf numFmtId="167" fontId="4" fillId="0" borderId="0" xfId="19" applyNumberFormat="1" applyFont="1" applyBorder="1" applyAlignment="1">
      <alignment horizontal="right"/>
      <protection/>
    </xf>
    <xf numFmtId="167" fontId="4" fillId="0" borderId="0" xfId="19" applyNumberFormat="1" applyFont="1" applyFill="1" applyBorder="1" applyAlignment="1">
      <alignment horizontal="right"/>
      <protection/>
    </xf>
    <xf numFmtId="167" fontId="4" fillId="2" borderId="0" xfId="19" applyNumberFormat="1" applyFont="1" applyFill="1" applyBorder="1" applyAlignment="1">
      <alignment horizontal="center"/>
      <protection/>
    </xf>
    <xf numFmtId="167" fontId="4" fillId="6" borderId="0" xfId="19" applyNumberFormat="1" applyFont="1" applyFill="1" applyBorder="1" applyAlignment="1">
      <alignment horizontal="center"/>
      <protection/>
    </xf>
    <xf numFmtId="166" fontId="4" fillId="2" borderId="0" xfId="20" applyNumberFormat="1" applyFont="1" applyFill="1" applyBorder="1" applyAlignment="1">
      <alignment horizontal="center"/>
    </xf>
    <xf numFmtId="167" fontId="4" fillId="8" borderId="0" xfId="19" applyNumberFormat="1" applyFont="1" applyFill="1" applyBorder="1" applyAlignment="1">
      <alignment horizontal="center"/>
      <protection/>
    </xf>
    <xf numFmtId="167" fontId="4" fillId="9" borderId="0" xfId="19" applyNumberFormat="1" applyFont="1" applyFill="1" applyBorder="1" applyAlignment="1">
      <alignment horizontal="center"/>
      <protection/>
    </xf>
    <xf numFmtId="167" fontId="4" fillId="0" borderId="0" xfId="19" applyNumberFormat="1" applyFont="1" applyBorder="1" applyAlignment="1">
      <alignment horizontal="center"/>
      <protection/>
    </xf>
    <xf numFmtId="167" fontId="1" fillId="0" borderId="4" xfId="19" applyNumberFormat="1" applyFont="1" applyBorder="1" applyAlignment="1">
      <alignment horizontal="center"/>
      <protection/>
    </xf>
    <xf numFmtId="167" fontId="1" fillId="0" borderId="0" xfId="19" applyNumberFormat="1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8" fontId="1" fillId="0" borderId="0" xfId="19" applyNumberFormat="1" applyFont="1" applyBorder="1" applyAlignment="1">
      <alignment horizontal="center"/>
      <protection/>
    </xf>
    <xf numFmtId="38" fontId="1" fillId="0" borderId="0" xfId="19" applyNumberFormat="1" applyFont="1" applyBorder="1" applyAlignment="1">
      <alignment horizontal="right"/>
      <protection/>
    </xf>
    <xf numFmtId="38" fontId="1" fillId="0" borderId="0" xfId="19" applyNumberFormat="1" applyFont="1" applyFill="1" applyBorder="1" applyAlignment="1">
      <alignment horizontal="right"/>
      <protection/>
    </xf>
    <xf numFmtId="38" fontId="1" fillId="2" borderId="0" xfId="19" applyNumberFormat="1" applyFont="1" applyFill="1" applyBorder="1" applyAlignment="1">
      <alignment horizontal="center"/>
      <protection/>
    </xf>
    <xf numFmtId="38" fontId="1" fillId="6" borderId="0" xfId="19" applyNumberFormat="1" applyFont="1" applyFill="1" applyBorder="1" applyAlignment="1">
      <alignment horizontal="center"/>
      <protection/>
    </xf>
    <xf numFmtId="38" fontId="1" fillId="8" borderId="0" xfId="19" applyNumberFormat="1" applyFont="1" applyFill="1" applyBorder="1" applyAlignment="1">
      <alignment horizontal="center"/>
      <protection/>
    </xf>
    <xf numFmtId="38" fontId="1" fillId="9" borderId="0" xfId="19" applyNumberFormat="1" applyFont="1" applyFill="1" applyBorder="1" applyAlignment="1">
      <alignment horizontal="center"/>
      <protection/>
    </xf>
    <xf numFmtId="0" fontId="1" fillId="0" borderId="4" xfId="0" applyFont="1" applyBorder="1" applyAlignment="1">
      <alignment/>
    </xf>
    <xf numFmtId="0" fontId="4" fillId="0" borderId="0" xfId="19" applyFont="1" applyBorder="1" applyAlignment="1">
      <alignment horizontal="right"/>
      <protection/>
    </xf>
    <xf numFmtId="38" fontId="4" fillId="0" borderId="0" xfId="19" applyNumberFormat="1" applyFont="1" applyBorder="1" applyAlignment="1">
      <alignment horizontal="center"/>
      <protection/>
    </xf>
    <xf numFmtId="6" fontId="4" fillId="0" borderId="0" xfId="19" applyNumberFormat="1" applyFont="1" applyBorder="1" applyAlignment="1">
      <alignment horizontal="right"/>
      <protection/>
    </xf>
    <xf numFmtId="6" fontId="4" fillId="0" borderId="0" xfId="19" applyNumberFormat="1" applyFont="1" applyFill="1" applyBorder="1" applyAlignment="1">
      <alignment horizontal="right"/>
      <protection/>
    </xf>
    <xf numFmtId="6" fontId="4" fillId="2" borderId="0" xfId="19" applyNumberFormat="1" applyFont="1" applyFill="1" applyBorder="1" applyAlignment="1">
      <alignment horizontal="right"/>
      <protection/>
    </xf>
    <xf numFmtId="6" fontId="4" fillId="6" borderId="0" xfId="19" applyNumberFormat="1" applyFont="1" applyFill="1" applyBorder="1" applyAlignment="1">
      <alignment horizontal="right"/>
      <protection/>
    </xf>
    <xf numFmtId="6" fontId="4" fillId="8" borderId="0" xfId="19" applyNumberFormat="1" applyFont="1" applyFill="1" applyBorder="1" applyAlignment="1">
      <alignment horizontal="right"/>
      <protection/>
    </xf>
    <xf numFmtId="6" fontId="4" fillId="9" borderId="0" xfId="19" applyNumberFormat="1" applyFont="1" applyFill="1" applyBorder="1" applyAlignment="1">
      <alignment horizontal="right"/>
      <protection/>
    </xf>
    <xf numFmtId="0" fontId="8" fillId="0" borderId="0" xfId="19" applyFont="1" applyAlignment="1">
      <alignment horizontal="right"/>
      <protection/>
    </xf>
    <xf numFmtId="38" fontId="4" fillId="0" borderId="0" xfId="19" applyNumberFormat="1" applyFont="1" applyBorder="1" applyAlignment="1">
      <alignment horizontal="right"/>
      <protection/>
    </xf>
    <xf numFmtId="38" fontId="4" fillId="0" borderId="0" xfId="19" applyNumberFormat="1" applyFont="1" applyFill="1" applyBorder="1" applyAlignment="1">
      <alignment horizontal="right"/>
      <protection/>
    </xf>
    <xf numFmtId="38" fontId="4" fillId="2" borderId="0" xfId="19" applyNumberFormat="1" applyFont="1" applyFill="1" applyBorder="1" applyAlignment="1">
      <alignment horizontal="center"/>
      <protection/>
    </xf>
    <xf numFmtId="38" fontId="4" fillId="6" borderId="0" xfId="19" applyNumberFormat="1" applyFont="1" applyFill="1" applyBorder="1" applyAlignment="1">
      <alignment horizontal="center"/>
      <protection/>
    </xf>
    <xf numFmtId="38" fontId="4" fillId="8" borderId="0" xfId="19" applyNumberFormat="1" applyFont="1" applyFill="1" applyBorder="1" applyAlignment="1">
      <alignment horizontal="center"/>
      <protection/>
    </xf>
    <xf numFmtId="38" fontId="4" fillId="9" borderId="0" xfId="19" applyNumberFormat="1" applyFont="1" applyFill="1" applyBorder="1" applyAlignment="1">
      <alignment horizontal="center"/>
      <protection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167" fontId="4" fillId="0" borderId="7" xfId="0" applyNumberFormat="1" applyFont="1" applyBorder="1" applyAlignment="1">
      <alignment/>
    </xf>
    <xf numFmtId="167" fontId="4" fillId="0" borderId="7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/>
    </xf>
    <xf numFmtId="167" fontId="4" fillId="6" borderId="0" xfId="0" applyNumberFormat="1" applyFont="1" applyFill="1" applyBorder="1" applyAlignment="1">
      <alignment/>
    </xf>
    <xf numFmtId="167" fontId="4" fillId="8" borderId="0" xfId="0" applyNumberFormat="1" applyFont="1" applyFill="1" applyBorder="1" applyAlignment="1">
      <alignment/>
    </xf>
    <xf numFmtId="167" fontId="4" fillId="9" borderId="0" xfId="0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167" fontId="8" fillId="2" borderId="0" xfId="0" applyNumberFormat="1" applyFont="1" applyFill="1" applyAlignment="1">
      <alignment/>
    </xf>
    <xf numFmtId="167" fontId="8" fillId="6" borderId="0" xfId="0" applyNumberFormat="1" applyFont="1" applyFill="1" applyAlignment="1">
      <alignment/>
    </xf>
    <xf numFmtId="167" fontId="8" fillId="8" borderId="0" xfId="0" applyNumberFormat="1" applyFont="1" applyFill="1" applyAlignment="1">
      <alignment/>
    </xf>
    <xf numFmtId="167" fontId="8" fillId="9" borderId="0" xfId="0" applyNumberFormat="1" applyFont="1" applyFill="1" applyAlignment="1">
      <alignment/>
    </xf>
    <xf numFmtId="6" fontId="8" fillId="0" borderId="0" xfId="0" applyNumberFormat="1" applyFont="1" applyAlignment="1">
      <alignment horizontal="right"/>
    </xf>
    <xf numFmtId="6" fontId="8" fillId="0" borderId="0" xfId="0" applyNumberFormat="1" applyFont="1" applyFill="1" applyAlignment="1">
      <alignment horizontal="right"/>
    </xf>
    <xf numFmtId="6" fontId="8" fillId="2" borderId="0" xfId="0" applyNumberFormat="1" applyFont="1" applyFill="1" applyAlignment="1">
      <alignment/>
    </xf>
    <xf numFmtId="6" fontId="8" fillId="6" borderId="0" xfId="0" applyNumberFormat="1" applyFont="1" applyFill="1" applyAlignment="1">
      <alignment/>
    </xf>
    <xf numFmtId="6" fontId="8" fillId="8" borderId="0" xfId="0" applyNumberFormat="1" applyFont="1" applyFill="1" applyAlignment="1">
      <alignment/>
    </xf>
    <xf numFmtId="6" fontId="8" fillId="9" borderId="0" xfId="0" applyNumberFormat="1" applyFont="1" applyFill="1" applyAlignment="1">
      <alignment/>
    </xf>
    <xf numFmtId="9" fontId="8" fillId="0" borderId="0" xfId="20" applyFont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6" fontId="11" fillId="0" borderId="0" xfId="0" applyNumberFormat="1" applyFont="1" applyAlignment="1">
      <alignment/>
    </xf>
    <xf numFmtId="6" fontId="11" fillId="0" borderId="0" xfId="0" applyNumberFormat="1" applyFont="1" applyAlignment="1">
      <alignment horizontal="right"/>
    </xf>
    <xf numFmtId="6" fontId="11" fillId="0" borderId="0" xfId="0" applyNumberFormat="1" applyFont="1" applyFill="1" applyAlignment="1">
      <alignment horizontal="right"/>
    </xf>
    <xf numFmtId="6" fontId="11" fillId="2" borderId="0" xfId="0" applyNumberFormat="1" applyFont="1" applyFill="1" applyAlignment="1">
      <alignment/>
    </xf>
    <xf numFmtId="6" fontId="11" fillId="6" borderId="0" xfId="0" applyNumberFormat="1" applyFont="1" applyFill="1" applyAlignment="1">
      <alignment/>
    </xf>
    <xf numFmtId="6" fontId="11" fillId="8" borderId="0" xfId="0" applyNumberFormat="1" applyFont="1" applyFill="1" applyAlignment="1">
      <alignment/>
    </xf>
    <xf numFmtId="6" fontId="11" fillId="9" borderId="0" xfId="0" applyNumberFormat="1" applyFont="1" applyFill="1" applyAlignment="1">
      <alignment/>
    </xf>
    <xf numFmtId="9" fontId="11" fillId="0" borderId="0" xfId="2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6" fontId="8" fillId="0" borderId="0" xfId="15" applyNumberFormat="1" applyFont="1" applyFill="1" applyAlignment="1">
      <alignment/>
    </xf>
    <xf numFmtId="6" fontId="8" fillId="0" borderId="0" xfId="15" applyNumberFormat="1" applyFont="1" applyAlignment="1">
      <alignment/>
    </xf>
    <xf numFmtId="10" fontId="11" fillId="0" borderId="0" xfId="0" applyNumberFormat="1" applyFont="1" applyAlignment="1">
      <alignment horizontal="right"/>
    </xf>
    <xf numFmtId="10" fontId="11" fillId="0" borderId="0" xfId="2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right"/>
    </xf>
    <xf numFmtId="165" fontId="13" fillId="6" borderId="0" xfId="0" applyNumberFormat="1" applyFont="1" applyFill="1" applyAlignment="1">
      <alignment horizontal="right"/>
    </xf>
    <xf numFmtId="165" fontId="13" fillId="8" borderId="0" xfId="0" applyNumberFormat="1" applyFont="1" applyFill="1" applyAlignment="1">
      <alignment horizontal="right"/>
    </xf>
    <xf numFmtId="8" fontId="13" fillId="0" borderId="0" xfId="0" applyNumberFormat="1" applyFont="1" applyAlignment="1">
      <alignment horizontal="right"/>
    </xf>
    <xf numFmtId="8" fontId="13" fillId="0" borderId="0" xfId="0" applyNumberFormat="1" applyFont="1" applyFill="1" applyAlignment="1">
      <alignment horizontal="right"/>
    </xf>
    <xf numFmtId="8" fontId="13" fillId="2" borderId="0" xfId="0" applyNumberFormat="1" applyFont="1" applyFill="1" applyAlignment="1">
      <alignment horizontal="right"/>
    </xf>
    <xf numFmtId="8" fontId="13" fillId="6" borderId="0" xfId="0" applyNumberFormat="1" applyFont="1" applyFill="1" applyAlignment="1">
      <alignment horizontal="right"/>
    </xf>
    <xf numFmtId="8" fontId="13" fillId="8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164" fontId="8" fillId="0" borderId="0" xfId="15" applyNumberFormat="1" applyFont="1" applyAlignment="1">
      <alignment horizontal="right"/>
    </xf>
    <xf numFmtId="164" fontId="8" fillId="0" borderId="0" xfId="15" applyNumberFormat="1" applyFont="1" applyFill="1" applyAlignment="1">
      <alignment horizontal="right"/>
    </xf>
    <xf numFmtId="164" fontId="8" fillId="2" borderId="0" xfId="15" applyNumberFormat="1" applyFont="1" applyFill="1" applyAlignment="1">
      <alignment horizontal="right"/>
    </xf>
    <xf numFmtId="164" fontId="8" fillId="6" borderId="0" xfId="15" applyNumberFormat="1" applyFont="1" applyFill="1" applyAlignment="1">
      <alignment horizontal="right"/>
    </xf>
    <xf numFmtId="164" fontId="8" fillId="8" borderId="0" xfId="15" applyNumberFormat="1" applyFont="1" applyFill="1" applyAlignment="1">
      <alignment horizontal="right"/>
    </xf>
    <xf numFmtId="6" fontId="4" fillId="0" borderId="0" xfId="0" applyNumberFormat="1" applyFont="1" applyAlignment="1">
      <alignment horizontal="right"/>
    </xf>
    <xf numFmtId="6" fontId="4" fillId="0" borderId="0" xfId="0" applyNumberFormat="1" applyFont="1" applyFill="1" applyAlignment="1">
      <alignment horizontal="right"/>
    </xf>
    <xf numFmtId="6" fontId="4" fillId="2" borderId="0" xfId="0" applyNumberFormat="1" applyFont="1" applyFill="1" applyAlignment="1">
      <alignment horizontal="right"/>
    </xf>
    <xf numFmtId="6" fontId="4" fillId="6" borderId="0" xfId="0" applyNumberFormat="1" applyFont="1" applyFill="1" applyAlignment="1">
      <alignment horizontal="right"/>
    </xf>
    <xf numFmtId="6" fontId="4" fillId="8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8" borderId="0" xfId="0" applyNumberFormat="1" applyFont="1" applyFill="1" applyAlignment="1">
      <alignment horizontal="right"/>
    </xf>
    <xf numFmtId="6" fontId="8" fillId="2" borderId="0" xfId="0" applyNumberFormat="1" applyFont="1" applyFill="1" applyAlignment="1">
      <alignment horizontal="right"/>
    </xf>
    <xf numFmtId="6" fontId="8" fillId="6" borderId="0" xfId="0" applyNumberFormat="1" applyFont="1" applyFill="1" applyAlignment="1">
      <alignment horizontal="right"/>
    </xf>
    <xf numFmtId="6" fontId="8" fillId="8" borderId="0" xfId="0" applyNumberFormat="1" applyFont="1" applyFill="1" applyAlignment="1">
      <alignment horizontal="right"/>
    </xf>
    <xf numFmtId="0" fontId="46" fillId="0" borderId="0" xfId="0" applyFont="1" applyAlignment="1">
      <alignment horizontal="right"/>
    </xf>
    <xf numFmtId="164" fontId="14" fillId="0" borderId="0" xfId="15" applyNumberFormat="1" applyFont="1" applyAlignment="1">
      <alignment horizontal="right"/>
    </xf>
    <xf numFmtId="164" fontId="14" fillId="0" borderId="0" xfId="15" applyNumberFormat="1" applyFont="1" applyFill="1" applyAlignment="1">
      <alignment horizontal="right"/>
    </xf>
    <xf numFmtId="164" fontId="14" fillId="2" borderId="0" xfId="15" applyNumberFormat="1" applyFont="1" applyFill="1" applyAlignment="1">
      <alignment horizontal="right"/>
    </xf>
    <xf numFmtId="164" fontId="14" fillId="6" borderId="0" xfId="15" applyNumberFormat="1" applyFont="1" applyFill="1" applyAlignment="1">
      <alignment horizontal="right"/>
    </xf>
    <xf numFmtId="164" fontId="13" fillId="8" borderId="0" xfId="15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6" fontId="31" fillId="0" borderId="0" xfId="0" applyNumberFormat="1" applyFont="1" applyAlignment="1">
      <alignment horizontal="right"/>
    </xf>
    <xf numFmtId="6" fontId="31" fillId="0" borderId="0" xfId="0" applyNumberFormat="1" applyFont="1" applyFill="1" applyAlignment="1">
      <alignment horizontal="right"/>
    </xf>
    <xf numFmtId="6" fontId="31" fillId="2" borderId="0" xfId="0" applyNumberFormat="1" applyFont="1" applyFill="1" applyAlignment="1">
      <alignment horizontal="right"/>
    </xf>
    <xf numFmtId="6" fontId="31" fillId="6" borderId="0" xfId="0" applyNumberFormat="1" applyFont="1" applyFill="1" applyAlignment="1">
      <alignment horizontal="right"/>
    </xf>
    <xf numFmtId="164" fontId="8" fillId="2" borderId="0" xfId="15" applyNumberFormat="1" applyFont="1" applyFill="1" applyAlignment="1">
      <alignment/>
    </xf>
    <xf numFmtId="164" fontId="8" fillId="6" borderId="0" xfId="15" applyNumberFormat="1" applyFont="1" applyFill="1" applyAlignment="1">
      <alignment/>
    </xf>
    <xf numFmtId="164" fontId="8" fillId="8" borderId="0" xfId="15" applyNumberFormat="1" applyFont="1" applyFill="1" applyAlignment="1">
      <alignment/>
    </xf>
    <xf numFmtId="6" fontId="13" fillId="0" borderId="0" xfId="0" applyNumberFormat="1" applyFont="1" applyAlignment="1">
      <alignment/>
    </xf>
    <xf numFmtId="6" fontId="13" fillId="0" borderId="0" xfId="0" applyNumberFormat="1" applyFont="1" applyFill="1" applyAlignment="1">
      <alignment/>
    </xf>
    <xf numFmtId="6" fontId="13" fillId="2" borderId="0" xfId="0" applyNumberFormat="1" applyFont="1" applyFill="1" applyAlignment="1">
      <alignment/>
    </xf>
    <xf numFmtId="6" fontId="13" fillId="6" borderId="0" xfId="0" applyNumberFormat="1" applyFont="1" applyFill="1" applyAlignment="1">
      <alignment/>
    </xf>
    <xf numFmtId="6" fontId="13" fillId="8" borderId="0" xfId="0" applyNumberFormat="1" applyFont="1" applyFill="1" applyAlignment="1">
      <alignment/>
    </xf>
    <xf numFmtId="6" fontId="31" fillId="0" borderId="0" xfId="0" applyNumberFormat="1" applyFont="1" applyAlignment="1">
      <alignment/>
    </xf>
    <xf numFmtId="0" fontId="14" fillId="0" borderId="0" xfId="0" applyFont="1" applyAlignment="1">
      <alignment/>
    </xf>
    <xf numFmtId="6" fontId="31" fillId="0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6" borderId="0" xfId="0" applyNumberFormat="1" applyFont="1" applyFill="1" applyAlignment="1">
      <alignment/>
    </xf>
    <xf numFmtId="164" fontId="8" fillId="8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YTON\Local%20Settings\Temporary%20Internet%20Files\OLK5\Current%20Office%20and%20Parking%209.2.2004%20G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m\sys1\Documents%20and%20Settings\Robert%20Williams\Local%20Settings\Temporary%20Internet%20Files\OLK4\Net%20cashflow%20and%20savings%20as%20of%206(1).4.2004%20revised%203rd%20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m\sys1\Documents%20and%20Settings\Robert%20Williams\Local%20Settings\Temporary%20Internet%20Files\Content.IE5\QPUXSJGN\KC%20New%20Building%20Proforma%20Budget%201.29.2004%20financing1%20as%20of%205.25.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YTON\Local%20Settings\Temporary%20Internet%20Files\OLK5\Development%20%20Financing%20Costs%20Simplified%2011.19.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m\sys1\Documents%20and%20Settings\Robert%20Williams\Local%20Settings\Temporary%20Internet%20Files\OLK4\Worksheet%20calculating%20the%20non-construction%20cost%20impact%20of%20replacement%20parking%20struc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 Worksheet"/>
      <sheetName val="KC format"/>
      <sheetName val="Revised Summary"/>
      <sheetName val="Cindy cost detail 9.1.2004"/>
      <sheetName val="Cindy 9.1 Add boiler and tunnel"/>
      <sheetName val="Repair Shop"/>
      <sheetName val="WR Parking Model"/>
      <sheetName val="Parking Count and alternatives"/>
      <sheetName val="Construction cost alts"/>
      <sheetName val="Space sheet"/>
      <sheetName val="Kinzer format timing alts"/>
      <sheetName val="KC Summary worksheet"/>
      <sheetName val="King County Costs"/>
      <sheetName val="Preliminary Base Costs of issue"/>
      <sheetName val="Kinzer Info"/>
      <sheetName val="Escalating Capital Equivalent"/>
      <sheetName val="Current Parking Net"/>
      <sheetName val="Repair out of garage"/>
      <sheetName val="Proviso Summary"/>
      <sheetName val="Parking Information"/>
      <sheetName val="WR Upfront Costs"/>
      <sheetName val="Parking worksheet to Sid"/>
      <sheetName val="Lease Space vacated and rents"/>
      <sheetName val="WR format and  current numbers"/>
      <sheetName val="Summary comparison on financing"/>
      <sheetName val="Financing Proforma info"/>
      <sheetName val="Alternatives summary"/>
      <sheetName val="Early costs in 2004"/>
      <sheetName val="Footnotes to WR format lines"/>
      <sheetName val="Sheet2"/>
      <sheetName val="Cindy worksheet 6.10"/>
      <sheetName val="summary of alts"/>
    </sheetNames>
    <sheetDataSet>
      <sheetData sheetId="1">
        <row r="13">
          <cell r="I13">
            <v>261000</v>
          </cell>
          <cell r="N13">
            <v>288000</v>
          </cell>
          <cell r="P13">
            <v>288000</v>
          </cell>
          <cell r="Q13">
            <v>284252</v>
          </cell>
        </row>
        <row r="15">
          <cell r="Q15">
            <v>11010</v>
          </cell>
        </row>
        <row r="19">
          <cell r="I19">
            <v>983000</v>
          </cell>
          <cell r="Q19">
            <v>983000</v>
          </cell>
        </row>
        <row r="30">
          <cell r="I30">
            <v>1720000</v>
          </cell>
          <cell r="Q30">
            <v>1906000</v>
          </cell>
        </row>
        <row r="42">
          <cell r="I42">
            <v>1197000</v>
          </cell>
          <cell r="Q42">
            <v>1197000</v>
          </cell>
        </row>
        <row r="50">
          <cell r="I50">
            <v>46423540</v>
          </cell>
          <cell r="Q50">
            <v>59878080.00000001</v>
          </cell>
        </row>
        <row r="54">
          <cell r="Q54">
            <v>300000</v>
          </cell>
        </row>
        <row r="55">
          <cell r="Q55">
            <v>260000</v>
          </cell>
        </row>
        <row r="59">
          <cell r="Q59">
            <v>150500</v>
          </cell>
        </row>
        <row r="60">
          <cell r="I60">
            <v>16351500</v>
          </cell>
          <cell r="Q60">
            <v>15545500</v>
          </cell>
        </row>
        <row r="78">
          <cell r="Q78">
            <v>885544</v>
          </cell>
        </row>
        <row r="82">
          <cell r="Q82">
            <v>888225.8</v>
          </cell>
        </row>
        <row r="85">
          <cell r="I85">
            <v>76965070.4</v>
          </cell>
          <cell r="Q85">
            <v>90596349.80000001</v>
          </cell>
        </row>
        <row r="99">
          <cell r="I99">
            <v>85926009.08400707</v>
          </cell>
          <cell r="Q99">
            <v>100940741.00212455</v>
          </cell>
          <cell r="U99">
            <v>18400093.037069067</v>
          </cell>
        </row>
        <row r="111">
          <cell r="P111">
            <v>27000</v>
          </cell>
        </row>
        <row r="165">
          <cell r="Q165">
            <v>23252</v>
          </cell>
        </row>
      </sheetData>
      <sheetData sheetId="2">
        <row r="1">
          <cell r="C1">
            <v>0</v>
          </cell>
        </row>
        <row r="4">
          <cell r="C4">
            <v>244000</v>
          </cell>
        </row>
        <row r="5">
          <cell r="C5">
            <v>40252</v>
          </cell>
        </row>
        <row r="6">
          <cell r="C6">
            <v>22</v>
          </cell>
        </row>
        <row r="8">
          <cell r="C8">
            <v>18400093.037069067</v>
          </cell>
        </row>
        <row r="15">
          <cell r="C15">
            <v>0.0525</v>
          </cell>
        </row>
        <row r="16">
          <cell r="C16">
            <v>27.5</v>
          </cell>
        </row>
        <row r="66">
          <cell r="C66">
            <v>0</v>
          </cell>
        </row>
        <row r="99">
          <cell r="C99">
            <v>2007</v>
          </cell>
          <cell r="D99">
            <v>2008</v>
          </cell>
          <cell r="E99">
            <v>2009</v>
          </cell>
          <cell r="F99">
            <v>2010</v>
          </cell>
          <cell r="G99">
            <v>2011</v>
          </cell>
          <cell r="H99">
            <v>2012</v>
          </cell>
          <cell r="I99">
            <v>2013</v>
          </cell>
          <cell r="J99">
            <v>2014</v>
          </cell>
          <cell r="K99">
            <v>2015</v>
          </cell>
          <cell r="L99">
            <v>2016</v>
          </cell>
          <cell r="M99">
            <v>2017</v>
          </cell>
          <cell r="N99">
            <v>2018</v>
          </cell>
          <cell r="O99">
            <v>2019</v>
          </cell>
          <cell r="P99">
            <v>2020</v>
          </cell>
          <cell r="Q99">
            <v>2021</v>
          </cell>
          <cell r="R99">
            <v>2022</v>
          </cell>
          <cell r="S99">
            <v>2023</v>
          </cell>
          <cell r="T99">
            <v>2024</v>
          </cell>
          <cell r="U99">
            <v>2025</v>
          </cell>
          <cell r="V99">
            <v>2026</v>
          </cell>
          <cell r="W99">
            <v>2027</v>
          </cell>
          <cell r="X99">
            <v>2028</v>
          </cell>
          <cell r="Y99">
            <v>2029</v>
          </cell>
          <cell r="Z99">
            <v>2030</v>
          </cell>
          <cell r="AA99">
            <v>2031</v>
          </cell>
          <cell r="AB99">
            <v>2032</v>
          </cell>
          <cell r="AC99">
            <v>2033</v>
          </cell>
          <cell r="AD99">
            <v>2034</v>
          </cell>
          <cell r="AE99">
            <v>2035</v>
          </cell>
          <cell r="AF99">
            <v>2036</v>
          </cell>
        </row>
        <row r="100">
          <cell r="A100">
            <v>14100000</v>
          </cell>
          <cell r="C100">
            <v>1279214.894530998</v>
          </cell>
        </row>
        <row r="115">
          <cell r="C115">
            <v>-14571.682732508867</v>
          </cell>
        </row>
      </sheetData>
      <sheetData sheetId="3">
        <row r="13">
          <cell r="F13">
            <v>3103000</v>
          </cell>
        </row>
        <row r="16">
          <cell r="F16">
            <v>54075000</v>
          </cell>
        </row>
        <row r="17">
          <cell r="F17">
            <v>960000</v>
          </cell>
        </row>
        <row r="24">
          <cell r="F24">
            <v>61719000</v>
          </cell>
        </row>
        <row r="27">
          <cell r="F27">
            <v>14215000</v>
          </cell>
        </row>
        <row r="30">
          <cell r="F30">
            <v>510000</v>
          </cell>
        </row>
        <row r="43">
          <cell r="F43">
            <v>903000</v>
          </cell>
          <cell r="G43">
            <v>903000</v>
          </cell>
        </row>
        <row r="47">
          <cell r="F47">
            <v>1470000</v>
          </cell>
        </row>
        <row r="48">
          <cell r="F48">
            <v>2740000</v>
          </cell>
        </row>
        <row r="55">
          <cell r="F55">
            <v>2700000</v>
          </cell>
        </row>
        <row r="59">
          <cell r="G59">
            <v>90596349.8</v>
          </cell>
        </row>
        <row r="64">
          <cell r="F64">
            <v>284252</v>
          </cell>
        </row>
      </sheetData>
      <sheetData sheetId="6">
        <row r="7">
          <cell r="C7">
            <v>92</v>
          </cell>
        </row>
        <row r="19">
          <cell r="O19">
            <v>214.40079350394296</v>
          </cell>
        </row>
        <row r="21">
          <cell r="F21">
            <v>829</v>
          </cell>
        </row>
        <row r="24">
          <cell r="E24">
            <v>177.3913043478261</v>
          </cell>
          <cell r="F24">
            <v>204</v>
          </cell>
        </row>
        <row r="25">
          <cell r="C25">
            <v>0.03</v>
          </cell>
        </row>
        <row r="55">
          <cell r="C55">
            <v>0.15</v>
          </cell>
        </row>
        <row r="139">
          <cell r="K139">
            <v>898</v>
          </cell>
        </row>
        <row r="140">
          <cell r="K140">
            <v>921</v>
          </cell>
        </row>
        <row r="147">
          <cell r="M147">
            <v>2630415.987948205</v>
          </cell>
          <cell r="N147">
            <v>320033.0371497157</v>
          </cell>
        </row>
        <row r="148">
          <cell r="M148">
            <v>2779632.1440966623</v>
          </cell>
          <cell r="N148">
            <v>331696.2225836667</v>
          </cell>
        </row>
      </sheetData>
      <sheetData sheetId="7">
        <row r="4">
          <cell r="H4">
            <v>829</v>
          </cell>
        </row>
        <row r="7">
          <cell r="F7">
            <v>921</v>
          </cell>
        </row>
      </sheetData>
      <sheetData sheetId="8">
        <row r="13">
          <cell r="H13">
            <v>2343000</v>
          </cell>
        </row>
        <row r="51">
          <cell r="C51">
            <v>16168189.184</v>
          </cell>
        </row>
        <row r="52">
          <cell r="C52">
            <v>888688.192</v>
          </cell>
        </row>
        <row r="56">
          <cell r="C56">
            <v>58833600</v>
          </cell>
        </row>
      </sheetData>
      <sheetData sheetId="9">
        <row r="25">
          <cell r="G25">
            <v>11010</v>
          </cell>
        </row>
      </sheetData>
      <sheetData sheetId="11">
        <row r="42">
          <cell r="C42">
            <v>710000</v>
          </cell>
        </row>
      </sheetData>
      <sheetData sheetId="13">
        <row r="26">
          <cell r="B26">
            <v>2500000</v>
          </cell>
        </row>
        <row r="32">
          <cell r="B32">
            <v>3210000</v>
          </cell>
        </row>
      </sheetData>
      <sheetData sheetId="14">
        <row r="138">
          <cell r="O138">
            <v>-1212762.7087995321</v>
          </cell>
          <cell r="P138">
            <v>-1229758.580063518</v>
          </cell>
          <cell r="Q138">
            <v>-1377989.5974654234</v>
          </cell>
          <cell r="R138">
            <v>-1377829.6503893854</v>
          </cell>
          <cell r="S138">
            <v>-1411762.559901068</v>
          </cell>
          <cell r="T138">
            <v>-1577438.7266981</v>
          </cell>
          <cell r="U138">
            <v>-1749282.2834990432</v>
          </cell>
        </row>
      </sheetData>
      <sheetData sheetId="16">
        <row r="44">
          <cell r="E44">
            <v>957000</v>
          </cell>
          <cell r="F44">
            <v>522000</v>
          </cell>
          <cell r="G44">
            <v>435000</v>
          </cell>
        </row>
      </sheetData>
      <sheetData sheetId="18">
        <row r="95">
          <cell r="G95">
            <v>2500000</v>
          </cell>
          <cell r="K95">
            <v>2900000</v>
          </cell>
          <cell r="L95">
            <v>2900000</v>
          </cell>
        </row>
        <row r="100">
          <cell r="K100">
            <v>85926009.08400707</v>
          </cell>
        </row>
        <row r="107">
          <cell r="G107">
            <v>0.07874921249999997</v>
          </cell>
          <cell r="K107">
            <v>0.07874921249999998</v>
          </cell>
        </row>
      </sheetData>
      <sheetData sheetId="22">
        <row r="32">
          <cell r="I32">
            <v>4949951.955475</v>
          </cell>
          <cell r="J32">
            <v>5058927.874139251</v>
          </cell>
          <cell r="K32">
            <v>5197671.207963426</v>
          </cell>
          <cell r="L32">
            <v>5340316.35175433</v>
          </cell>
          <cell r="M32">
            <v>5486975.150010001</v>
          </cell>
          <cell r="N32">
            <v>5637762.698367401</v>
          </cell>
          <cell r="O32">
            <v>5792797.439052667</v>
          </cell>
          <cell r="P32">
            <v>5966581.362224246</v>
          </cell>
          <cell r="Q32">
            <v>6145578.803090975</v>
          </cell>
          <cell r="R32">
            <v>6329946.167183705</v>
          </cell>
          <cell r="S32">
            <v>6519844.552199216</v>
          </cell>
          <cell r="T32">
            <v>6715439.888765192</v>
          </cell>
          <cell r="U32">
            <v>6916903.085428148</v>
          </cell>
          <cell r="V32">
            <v>7124410.177990992</v>
          </cell>
          <cell r="W32">
            <v>7338142.483330719</v>
          </cell>
          <cell r="X32">
            <v>7558286.757830644</v>
          </cell>
          <cell r="Y32">
            <v>7785035.360565564</v>
          </cell>
          <cell r="Z32">
            <v>8018586.421382531</v>
          </cell>
          <cell r="AA32">
            <v>8259144.014024006</v>
          </cell>
          <cell r="AB32">
            <v>8506918.334444726</v>
          </cell>
          <cell r="AC32">
            <v>8762125.884478068</v>
          </cell>
          <cell r="AD32">
            <v>9024989.661012411</v>
          </cell>
          <cell r="AE32">
            <v>9295739.350842785</v>
          </cell>
          <cell r="AF32">
            <v>9574611.53136807</v>
          </cell>
          <cell r="AG32">
            <v>9861849.877309112</v>
          </cell>
          <cell r="AH32">
            <v>10157705.373628382</v>
          </cell>
          <cell r="AI32">
            <v>10462436.534837235</v>
          </cell>
          <cell r="AJ32">
            <v>10776309.630882353</v>
          </cell>
          <cell r="AK32">
            <v>11099598.919808824</v>
          </cell>
          <cell r="AL32">
            <v>11432586.88740309</v>
          </cell>
        </row>
        <row r="34">
          <cell r="F34">
            <v>261000</v>
          </cell>
        </row>
        <row r="43">
          <cell r="I43">
            <v>18.965333162739462</v>
          </cell>
          <cell r="J43">
            <v>19.382865418158048</v>
          </cell>
          <cell r="K43">
            <v>19.914449072656804</v>
          </cell>
          <cell r="L43">
            <v>20.46098219062962</v>
          </cell>
          <cell r="M43">
            <v>21.02289329505747</v>
          </cell>
          <cell r="N43">
            <v>21.600623365392337</v>
          </cell>
          <cell r="O43">
            <v>22.19462620326692</v>
          </cell>
          <cell r="P43">
            <v>22.860464989364928</v>
          </cell>
          <cell r="Q43">
            <v>23.54627893904588</v>
          </cell>
          <cell r="R43">
            <v>24.25266730721726</v>
          </cell>
          <cell r="S43">
            <v>24.980247326433776</v>
          </cell>
          <cell r="T43">
            <v>25.72965474622679</v>
          </cell>
          <cell r="U43">
            <v>26.501544388613592</v>
          </cell>
          <cell r="V43">
            <v>27.296590720271997</v>
          </cell>
          <cell r="W43">
            <v>28.11548844188015</v>
          </cell>
          <cell r="X43">
            <v>28.958953095136565</v>
          </cell>
          <cell r="Y43">
            <v>29.827721687990664</v>
          </cell>
          <cell r="Z43">
            <v>30.722553338630384</v>
          </cell>
          <cell r="AA43">
            <v>31.644229938789294</v>
          </cell>
          <cell r="AB43">
            <v>32.59355683695297</v>
          </cell>
          <cell r="AC43">
            <v>33.57136354206156</v>
          </cell>
          <cell r="AD43">
            <v>34.578504448323415</v>
          </cell>
          <cell r="AE43">
            <v>35.61585958177312</v>
          </cell>
          <cell r="AF43">
            <v>36.68433536922632</v>
          </cell>
          <cell r="AG43">
            <v>37.78486543030311</v>
          </cell>
          <cell r="AH43">
            <v>38.91841139321219</v>
          </cell>
          <cell r="AI43">
            <v>40.08596373500856</v>
          </cell>
          <cell r="AJ43">
            <v>41.28854264705882</v>
          </cell>
          <cell r="AK43">
            <v>42.52719892647059</v>
          </cell>
          <cell r="AL43">
            <v>43.803014894264706</v>
          </cell>
        </row>
      </sheetData>
      <sheetData sheetId="25">
        <row r="6">
          <cell r="B6">
            <v>0.03</v>
          </cell>
        </row>
        <row r="10">
          <cell r="B10">
            <v>0.905167683900435</v>
          </cell>
        </row>
        <row r="11">
          <cell r="B11">
            <v>24000</v>
          </cell>
        </row>
        <row r="12">
          <cell r="B12">
            <v>50</v>
          </cell>
        </row>
      </sheetData>
      <sheetData sheetId="31">
        <row r="6">
          <cell r="F6">
            <v>288000</v>
          </cell>
          <cell r="H6">
            <v>96798479.08552594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worksheet"/>
      <sheetName val=".2.2004 revised 2nd time.xls]Cr"/>
      <sheetName val="Alternative 2007 scenario"/>
      <sheetName val="Cash flow for graph"/>
      <sheetName val="KCC Improvements"/>
      <sheetName val="MMRF"/>
      <sheetName val="2007 revenue detail"/>
    </sheetNames>
    <sheetDataSet>
      <sheetData sheetId="0">
        <row r="34">
          <cell r="B34">
            <v>-4253779.831333475</v>
          </cell>
        </row>
        <row r="39">
          <cell r="B39">
            <v>1677218.9058119897</v>
          </cell>
        </row>
        <row r="43">
          <cell r="B43">
            <v>2952103.194625799</v>
          </cell>
        </row>
        <row r="51">
          <cell r="B51">
            <v>-2346394.147755045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worksheet"/>
      <sheetName val="KC Costs"/>
      <sheetName val="Building Proforma Allowance tot"/>
      <sheetName val="Cashflow and Economics"/>
      <sheetName val="Parking Slots"/>
      <sheetName val="Alternatives Capital Inv"/>
      <sheetName val="KCAC MMRF"/>
      <sheetName val="Rate sheet from CC"/>
    </sheetNames>
    <sheetDataSet>
      <sheetData sheetId="3">
        <row r="53">
          <cell r="H53">
            <v>11165306.642272592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. Costs of Issuance"/>
      <sheetName val="Goat Hill Dvlpr."/>
    </sheetNames>
    <sheetDataSet>
      <sheetData sheetId="1">
        <row r="78">
          <cell r="F78">
            <v>80165710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tion A"/>
      <sheetName val="Option B"/>
      <sheetName val="Option C"/>
      <sheetName val="Interest Rate Impact delay"/>
      <sheetName val="Sheet4"/>
    </sheetNames>
    <sheetDataSet>
      <sheetData sheetId="1">
        <row r="9">
          <cell r="F9">
            <v>865000</v>
          </cell>
        </row>
        <row r="20">
          <cell r="F20">
            <v>1331000</v>
          </cell>
        </row>
        <row r="32">
          <cell r="F32">
            <v>898000</v>
          </cell>
        </row>
        <row r="35">
          <cell r="D35">
            <v>785000</v>
          </cell>
        </row>
        <row r="36">
          <cell r="D36">
            <v>2150000</v>
          </cell>
        </row>
        <row r="37">
          <cell r="B37">
            <v>35200000</v>
          </cell>
        </row>
        <row r="38">
          <cell r="D38">
            <v>970000</v>
          </cell>
        </row>
        <row r="39">
          <cell r="B39">
            <v>352000</v>
          </cell>
        </row>
        <row r="43">
          <cell r="D43">
            <v>481000</v>
          </cell>
        </row>
        <row r="44">
          <cell r="D44">
            <v>300000</v>
          </cell>
        </row>
        <row r="45">
          <cell r="D45">
            <v>260000</v>
          </cell>
        </row>
        <row r="46">
          <cell r="B46">
            <v>13050000</v>
          </cell>
        </row>
        <row r="47">
          <cell r="D47">
            <v>110000</v>
          </cell>
        </row>
        <row r="48">
          <cell r="B48">
            <v>130500</v>
          </cell>
        </row>
        <row r="59">
          <cell r="F59">
            <v>989000</v>
          </cell>
        </row>
        <row r="61">
          <cell r="F61">
            <v>2440000</v>
          </cell>
        </row>
        <row r="63">
          <cell r="F63">
            <v>1470000</v>
          </cell>
        </row>
        <row r="65">
          <cell r="F65">
            <v>2200000</v>
          </cell>
        </row>
        <row r="68">
          <cell r="F68">
            <v>1500000</v>
          </cell>
        </row>
        <row r="73">
          <cell r="F73">
            <v>66136315</v>
          </cell>
        </row>
      </sheetData>
      <sheetData sheetId="2">
        <row r="9">
          <cell r="F9">
            <v>983000</v>
          </cell>
        </row>
        <row r="20">
          <cell r="F20">
            <v>1720000</v>
          </cell>
        </row>
        <row r="32">
          <cell r="F32">
            <v>1197000</v>
          </cell>
        </row>
        <row r="35">
          <cell r="D35">
            <v>1000000</v>
          </cell>
        </row>
        <row r="36">
          <cell r="D36">
            <v>2800000</v>
          </cell>
        </row>
        <row r="37">
          <cell r="B37">
            <v>40954000</v>
          </cell>
        </row>
        <row r="38">
          <cell r="D38">
            <v>1260000</v>
          </cell>
        </row>
        <row r="39">
          <cell r="B39">
            <v>409540</v>
          </cell>
        </row>
        <row r="43">
          <cell r="D43">
            <v>481000</v>
          </cell>
        </row>
        <row r="44">
          <cell r="D44">
            <v>300000</v>
          </cell>
        </row>
        <row r="45">
          <cell r="D45">
            <v>260000</v>
          </cell>
        </row>
        <row r="46">
          <cell r="B46">
            <v>13050000</v>
          </cell>
        </row>
        <row r="47">
          <cell r="B47">
            <v>2000000</v>
          </cell>
        </row>
        <row r="48">
          <cell r="D48">
            <v>110000</v>
          </cell>
        </row>
        <row r="49">
          <cell r="B49">
            <v>150500</v>
          </cell>
        </row>
        <row r="60">
          <cell r="F60">
            <v>1118000</v>
          </cell>
        </row>
        <row r="62">
          <cell r="F62">
            <v>2740000</v>
          </cell>
        </row>
        <row r="64">
          <cell r="F64">
            <v>1470000</v>
          </cell>
        </row>
        <row r="66">
          <cell r="F66">
            <v>2700000</v>
          </cell>
        </row>
        <row r="69">
          <cell r="F69">
            <v>1500000</v>
          </cell>
        </row>
        <row r="74">
          <cell r="F74">
            <v>76965070.4</v>
          </cell>
        </row>
      </sheetData>
      <sheetData sheetId="4">
        <row r="9">
          <cell r="E9">
            <v>0.02890229028113126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8"/>
  <sheetViews>
    <sheetView workbookViewId="0" topLeftCell="C8">
      <selection activeCell="C24" sqref="C24"/>
    </sheetView>
  </sheetViews>
  <sheetFormatPr defaultColWidth="9.140625" defaultRowHeight="12.75"/>
  <cols>
    <col min="1" max="2" width="9.140625" style="1" customWidth="1"/>
    <col min="3" max="3" width="45.57421875" style="1" customWidth="1"/>
    <col min="4" max="4" width="11.28125" style="1" bestFit="1" customWidth="1"/>
    <col min="5" max="5" width="22.28125" style="1" customWidth="1"/>
    <col min="6" max="6" width="14.57421875" style="1" bestFit="1" customWidth="1"/>
    <col min="7" max="8" width="11.421875" style="1" customWidth="1"/>
    <col min="9" max="9" width="20.8515625" style="1" customWidth="1"/>
    <col min="10" max="16384" width="9.140625" style="1" customWidth="1"/>
  </cols>
  <sheetData>
    <row r="3" spans="4:6" ht="12.75">
      <c r="D3" s="1" t="s">
        <v>0</v>
      </c>
      <c r="E3" s="1" t="s">
        <v>1</v>
      </c>
      <c r="F3" s="1" t="s">
        <v>2</v>
      </c>
    </row>
    <row r="4" spans="7:10" ht="12.75">
      <c r="G4" s="1" t="s">
        <v>3</v>
      </c>
      <c r="I4" s="1" t="s">
        <v>4</v>
      </c>
      <c r="J4" s="1">
        <f>'[1]WR Parking Model'!F21</f>
        <v>829</v>
      </c>
    </row>
    <row r="5" spans="3:10" ht="12.75">
      <c r="C5" s="1" t="s">
        <v>5</v>
      </c>
      <c r="D5" s="1">
        <v>730</v>
      </c>
      <c r="E5" s="1">
        <v>986</v>
      </c>
      <c r="F5" s="1">
        <v>986</v>
      </c>
      <c r="G5" s="1">
        <f>921</f>
        <v>921</v>
      </c>
      <c r="I5" s="1" t="s">
        <v>6</v>
      </c>
      <c r="J5" s="1">
        <f>'[1]WR Parking Model'!C7</f>
        <v>92</v>
      </c>
    </row>
    <row r="6" spans="3:10" ht="12.75">
      <c r="C6" s="1" t="s">
        <v>7</v>
      </c>
      <c r="D6" s="2">
        <v>435000</v>
      </c>
      <c r="E6" s="2">
        <v>435000</v>
      </c>
      <c r="F6" s="2">
        <v>435000</v>
      </c>
      <c r="G6" s="2">
        <v>435000</v>
      </c>
      <c r="H6" s="2"/>
      <c r="J6" s="1">
        <f>SUM(J4:J5)</f>
        <v>921</v>
      </c>
    </row>
    <row r="7" spans="3:8" ht="12.75">
      <c r="C7" s="1" t="s">
        <v>8</v>
      </c>
      <c r="D7" s="2">
        <v>522000</v>
      </c>
      <c r="E7" s="2">
        <v>522000</v>
      </c>
      <c r="F7" s="2">
        <v>522000</v>
      </c>
      <c r="G7" s="2">
        <v>522000</v>
      </c>
      <c r="H7" s="2"/>
    </row>
    <row r="8" spans="3:10" ht="12.75">
      <c r="C8" s="1" t="s">
        <v>9</v>
      </c>
      <c r="D8" s="2">
        <v>305000</v>
      </c>
      <c r="E8" s="2">
        <v>305000</v>
      </c>
      <c r="F8" s="2">
        <v>305000</v>
      </c>
      <c r="G8" s="2">
        <f>'[1]WR Parking Model'!N147</f>
        <v>320033.0371497157</v>
      </c>
      <c r="H8" s="2"/>
      <c r="I8" s="1" t="s">
        <v>10</v>
      </c>
      <c r="J8" s="3">
        <v>0.8695652173913044</v>
      </c>
    </row>
    <row r="9" spans="9:12" ht="12.75">
      <c r="I9" s="1" t="s">
        <v>11</v>
      </c>
      <c r="J9" s="4">
        <v>204</v>
      </c>
      <c r="K9" s="5">
        <f>J9/255</f>
        <v>0.8</v>
      </c>
      <c r="L9" s="1" t="s">
        <v>12</v>
      </c>
    </row>
    <row r="10" spans="3:10" ht="12.75">
      <c r="C10" s="1" t="s">
        <v>13</v>
      </c>
      <c r="E10" s="2">
        <v>16923879.799145453</v>
      </c>
      <c r="F10" s="2">
        <v>16923879.799145453</v>
      </c>
      <c r="G10" s="2">
        <f>'[1]KC format'!U99</f>
        <v>18400093.037069067</v>
      </c>
      <c r="I10" s="1" t="s">
        <v>14</v>
      </c>
      <c r="J10" s="5">
        <v>0.15</v>
      </c>
    </row>
    <row r="11" spans="3:10" ht="12.75">
      <c r="C11" s="1" t="s">
        <v>15</v>
      </c>
      <c r="E11" s="2">
        <v>13100000</v>
      </c>
      <c r="F11" s="2">
        <f>E11</f>
        <v>13100000</v>
      </c>
      <c r="G11" s="6">
        <f>'[1]Revised Summary'!A100</f>
        <v>14100000</v>
      </c>
      <c r="I11" s="1" t="s">
        <v>16</v>
      </c>
      <c r="J11" s="5">
        <v>0.3</v>
      </c>
    </row>
    <row r="12" spans="3:7" ht="12.75">
      <c r="C12" s="1" t="s">
        <v>17</v>
      </c>
      <c r="E12" s="2">
        <f>1187338</f>
        <v>1187338</v>
      </c>
      <c r="F12" s="2">
        <f>E12</f>
        <v>1187338</v>
      </c>
      <c r="G12" s="2">
        <f>'[1]Revised Summary'!C100</f>
        <v>1279214.894530998</v>
      </c>
    </row>
    <row r="13" spans="3:7" ht="12.75">
      <c r="C13" s="1" t="s">
        <v>18</v>
      </c>
      <c r="E13" s="2">
        <v>757460</v>
      </c>
      <c r="F13" s="2">
        <f>F12</f>
        <v>1187338</v>
      </c>
      <c r="G13" s="2">
        <f>'[1]Revised Summary'!C115+'[1]Revised Summary'!C100</f>
        <v>1264643.211798489</v>
      </c>
    </row>
    <row r="14" spans="3:8" ht="12.75">
      <c r="C14" s="1" t="s">
        <v>19</v>
      </c>
      <c r="E14" s="2">
        <f>E13-E12</f>
        <v>-429878</v>
      </c>
      <c r="F14" s="2">
        <f>F13-F12</f>
        <v>0</v>
      </c>
      <c r="G14" s="2">
        <f>G13-G12</f>
        <v>-14571.682732508983</v>
      </c>
      <c r="H14" s="1" t="s">
        <v>20</v>
      </c>
    </row>
    <row r="15" spans="3:9" ht="12.75">
      <c r="C15" s="1" t="s">
        <v>21</v>
      </c>
      <c r="E15" s="6">
        <f>153</f>
        <v>153</v>
      </c>
      <c r="F15" s="6">
        <v>190</v>
      </c>
      <c r="G15" s="6">
        <f>'[1]WR Parking Model'!O19</f>
        <v>214.40079350394296</v>
      </c>
      <c r="H15" s="6"/>
      <c r="I15" s="6"/>
    </row>
    <row r="16" spans="3:9" s="8" customFormat="1" ht="13.5">
      <c r="C16" s="7" t="s">
        <v>22</v>
      </c>
      <c r="E16" s="9">
        <f>E15/(1.03)^3</f>
        <v>140.01667388103343</v>
      </c>
      <c r="F16" s="9">
        <f>F15/(1.03)^3</f>
        <v>173.87691527710032</v>
      </c>
      <c r="G16" s="9">
        <f>G15/(1.03)^3</f>
        <v>196.20709793383247</v>
      </c>
      <c r="H16" s="10"/>
      <c r="I16" s="10"/>
    </row>
    <row r="17" spans="3:9" s="8" customFormat="1" ht="13.5">
      <c r="C17" s="7"/>
      <c r="E17" s="9"/>
      <c r="F17" s="9"/>
      <c r="G17" s="9"/>
      <c r="H17" s="10"/>
      <c r="I17" s="10"/>
    </row>
    <row r="18" spans="3:4" ht="12.75">
      <c r="C18" s="1" t="s">
        <v>23</v>
      </c>
      <c r="D18" s="1">
        <v>148</v>
      </c>
    </row>
    <row r="19" spans="3:4" ht="12.75">
      <c r="C19" s="1" t="s">
        <v>24</v>
      </c>
      <c r="D19" s="1">
        <v>98</v>
      </c>
    </row>
    <row r="20" ht="12.75">
      <c r="G20" s="11"/>
    </row>
    <row r="21" spans="5:7" ht="12.75">
      <c r="E21" s="12" t="s">
        <v>25</v>
      </c>
      <c r="G21" s="11"/>
    </row>
    <row r="22" ht="12.75">
      <c r="E22" s="12" t="s">
        <v>26</v>
      </c>
    </row>
    <row r="23" ht="12.75">
      <c r="E23" s="12" t="s">
        <v>27</v>
      </c>
    </row>
    <row r="26" spans="5:7" ht="12.75">
      <c r="E26" s="13" t="s">
        <v>28</v>
      </c>
      <c r="F26" s="14" t="s">
        <v>29</v>
      </c>
      <c r="G26" s="1" t="s">
        <v>30</v>
      </c>
    </row>
    <row r="28" spans="3:6" ht="12.75">
      <c r="C28" s="1" t="s">
        <v>31</v>
      </c>
      <c r="E28" s="2">
        <f>'[1]KC format'!I19</f>
        <v>983000</v>
      </c>
      <c r="F28" s="2">
        <f>'[1]KC format'!Q19</f>
        <v>983000</v>
      </c>
    </row>
    <row r="29" spans="3:7" ht="12.75">
      <c r="C29" s="1" t="s">
        <v>32</v>
      </c>
      <c r="E29" s="2">
        <f>'[1]KC format'!I30</f>
        <v>1720000</v>
      </c>
      <c r="F29" s="2">
        <f>'[1]KC format'!Q30</f>
        <v>1906000</v>
      </c>
      <c r="G29" s="1" t="s">
        <v>33</v>
      </c>
    </row>
    <row r="30" spans="3:6" ht="12.75">
      <c r="C30" s="1" t="s">
        <v>34</v>
      </c>
      <c r="E30" s="2">
        <f>'[1]KC format'!I42</f>
        <v>1197000</v>
      </c>
      <c r="F30" s="2">
        <f>'[1]KC format'!Q42</f>
        <v>1197000</v>
      </c>
    </row>
    <row r="31" spans="3:6" ht="12.75">
      <c r="C31" s="1" t="s">
        <v>35</v>
      </c>
      <c r="E31" s="2">
        <f>'[1]KC format'!I50</f>
        <v>46423540</v>
      </c>
      <c r="F31" s="2">
        <f>'[1]KC format'!Q50</f>
        <v>59878080.00000001</v>
      </c>
    </row>
    <row r="32" spans="3:7" ht="12.75">
      <c r="C32" s="1" t="s">
        <v>36</v>
      </c>
      <c r="E32" s="2">
        <f>'[1]KC format'!I60</f>
        <v>16351500</v>
      </c>
      <c r="F32" s="2">
        <f>'[1]KC format'!Q60</f>
        <v>15545500</v>
      </c>
      <c r="G32" s="1" t="s">
        <v>37</v>
      </c>
    </row>
    <row r="33" spans="3:6" ht="12.75">
      <c r="C33" s="1" t="s">
        <v>38</v>
      </c>
      <c r="E33" s="2">
        <f>'[1]KC format'!I85-SUM(E28:E32)</f>
        <v>10290030.400000006</v>
      </c>
      <c r="F33" s="2">
        <f>'[1]KC format'!Q85-SUM(F28:F32)</f>
        <v>11086769.800000012</v>
      </c>
    </row>
    <row r="34" spans="3:6" ht="12.75">
      <c r="C34" s="1" t="s">
        <v>39</v>
      </c>
      <c r="E34" s="15">
        <f>SUM(E28:E33)</f>
        <v>76965070.4</v>
      </c>
      <c r="F34" s="15">
        <f>SUM(F28:F33)</f>
        <v>90596349.80000001</v>
      </c>
    </row>
    <row r="35" spans="3:6" ht="12.75">
      <c r="C35" s="1" t="s">
        <v>40</v>
      </c>
      <c r="E35" s="2">
        <f>'[1]Proviso Summary'!K95</f>
        <v>2900000</v>
      </c>
      <c r="F35" s="2">
        <f>'[1]Preliminary Base Costs of issue'!B32</f>
        <v>3210000</v>
      </c>
    </row>
    <row r="36" spans="3:6" ht="12.75">
      <c r="C36" s="1" t="s">
        <v>41</v>
      </c>
      <c r="E36" s="2">
        <f>E37-SUM(E28:E33)</f>
        <v>8960938.684007064</v>
      </c>
      <c r="F36" s="2">
        <f>F37-SUM(F28:F33)</f>
        <v>10344391.202124536</v>
      </c>
    </row>
    <row r="37" spans="3:6" ht="12.75">
      <c r="C37" s="1" t="s">
        <v>42</v>
      </c>
      <c r="E37" s="15">
        <f>'[1]KC format'!I99</f>
        <v>85926009.08400707</v>
      </c>
      <c r="F37" s="15">
        <f>'[1]KC format'!Q99</f>
        <v>100940741.00212455</v>
      </c>
    </row>
    <row r="39" ht="12.75">
      <c r="C39" s="12" t="s">
        <v>43</v>
      </c>
    </row>
    <row r="40" spans="3:7" ht="12.75">
      <c r="C40" s="16" t="s">
        <v>44</v>
      </c>
      <c r="D40" s="13" t="s">
        <v>45</v>
      </c>
      <c r="E40" s="17" t="s">
        <v>46</v>
      </c>
      <c r="F40" s="13" t="s">
        <v>47</v>
      </c>
      <c r="G40" s="13" t="s">
        <v>48</v>
      </c>
    </row>
    <row r="41" spans="3:7" ht="12.75">
      <c r="C41" s="18" t="s">
        <v>49</v>
      </c>
      <c r="D41" s="2">
        <v>261000</v>
      </c>
      <c r="E41" s="19" t="s">
        <v>50</v>
      </c>
      <c r="F41" s="20">
        <f>E37</f>
        <v>85926009.08400707</v>
      </c>
      <c r="G41" s="21">
        <f aca="true" t="shared" si="0" ref="G41:G46">F41/D41</f>
        <v>329.2184256092225</v>
      </c>
    </row>
    <row r="42" spans="3:7" ht="12.75">
      <c r="C42" s="22" t="s">
        <v>51</v>
      </c>
      <c r="D42" s="2">
        <f>D41</f>
        <v>261000</v>
      </c>
      <c r="E42" s="20">
        <f>F42-F41</f>
        <v>8292947.9159929305</v>
      </c>
      <c r="F42" s="23">
        <v>94218957</v>
      </c>
      <c r="G42" s="21">
        <f t="shared" si="0"/>
        <v>360.9921724137931</v>
      </c>
    </row>
    <row r="43" spans="3:7" ht="12.75">
      <c r="C43" s="24" t="s">
        <v>52</v>
      </c>
      <c r="D43" s="2">
        <f>'[1]summary of alts'!F6</f>
        <v>288000</v>
      </c>
      <c r="E43" s="20">
        <f>F43-F42</f>
        <v>2579522.085525945</v>
      </c>
      <c r="F43" s="2">
        <f>'[1]summary of alts'!H6</f>
        <v>96798479.08552594</v>
      </c>
      <c r="G43" s="21">
        <f t="shared" si="0"/>
        <v>336.1058301580762</v>
      </c>
    </row>
    <row r="44" spans="3:7" ht="12.75">
      <c r="C44" s="1" t="s">
        <v>53</v>
      </c>
      <c r="D44" s="20">
        <f>'[1]KC format'!Q13</f>
        <v>284252</v>
      </c>
      <c r="E44" s="20">
        <f>F44-F43</f>
        <v>6485261.916598603</v>
      </c>
      <c r="F44" s="20">
        <f>F45+'[1]Construction cost alts'!H13</f>
        <v>103283741.00212455</v>
      </c>
      <c r="G44" s="21">
        <f t="shared" si="0"/>
        <v>363.35273279387496</v>
      </c>
    </row>
    <row r="45" spans="3:7" ht="12.75">
      <c r="C45" s="12" t="s">
        <v>54</v>
      </c>
      <c r="D45" s="20">
        <f>D44</f>
        <v>284252</v>
      </c>
      <c r="E45" s="20">
        <f>F45-F44</f>
        <v>-2343000</v>
      </c>
      <c r="F45" s="20">
        <f>F37</f>
        <v>100940741.00212455</v>
      </c>
      <c r="G45" s="6">
        <f t="shared" si="0"/>
        <v>355.1100467265826</v>
      </c>
    </row>
    <row r="46" spans="3:7" ht="12.75">
      <c r="C46" s="1" t="s">
        <v>55</v>
      </c>
      <c r="D46" s="20">
        <f>D45</f>
        <v>284252</v>
      </c>
      <c r="E46" s="2">
        <f>-'[1]Revised Summary'!C8</f>
        <v>-18400093.037069067</v>
      </c>
      <c r="F46" s="20">
        <f>F45+E46</f>
        <v>82540647.96505548</v>
      </c>
      <c r="G46" s="6">
        <f t="shared" si="0"/>
        <v>290.3784246550789</v>
      </c>
    </row>
    <row r="48" ht="12.75">
      <c r="C48" s="1" t="s">
        <v>56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23"/>
  <sheetViews>
    <sheetView tabSelected="1" workbookViewId="0" topLeftCell="A47">
      <selection activeCell="A48" sqref="A48"/>
    </sheetView>
  </sheetViews>
  <sheetFormatPr defaultColWidth="9.140625" defaultRowHeight="12.75"/>
  <cols>
    <col min="1" max="1" width="11.7109375" style="149" customWidth="1"/>
    <col min="2" max="2" width="24.28125" style="18" customWidth="1"/>
    <col min="3" max="63" width="11.7109375" style="18" customWidth="1"/>
    <col min="64" max="16384" width="11.7109375" style="1" customWidth="1"/>
  </cols>
  <sheetData>
    <row r="1" spans="1:8" ht="16.5" hidden="1" thickBot="1">
      <c r="A1" s="25"/>
      <c r="B1" s="26" t="s">
        <v>57</v>
      </c>
      <c r="C1" s="27">
        <v>0</v>
      </c>
      <c r="D1" s="26"/>
      <c r="E1" s="26"/>
      <c r="F1" s="26" t="s">
        <v>6</v>
      </c>
      <c r="G1" s="26" t="s">
        <v>58</v>
      </c>
      <c r="H1" s="28" t="s">
        <v>59</v>
      </c>
    </row>
    <row r="2" spans="1:9" ht="12.75" hidden="1">
      <c r="A2" s="25"/>
      <c r="B2" s="29" t="s">
        <v>60</v>
      </c>
      <c r="C2" s="30">
        <f>'[1]KC format'!Q99</f>
        <v>100940741.00212455</v>
      </c>
      <c r="D2" s="31"/>
      <c r="E2" s="26"/>
      <c r="F2" s="32">
        <f>C2-C8</f>
        <v>82540647.96505548</v>
      </c>
      <c r="G2" s="32">
        <f>C8</f>
        <v>18400093.037069067</v>
      </c>
      <c r="H2" s="33">
        <f>F2+G2</f>
        <v>100940741.00212455</v>
      </c>
      <c r="I2" s="34">
        <f>F2/288000</f>
        <v>286.5994721008871</v>
      </c>
    </row>
    <row r="3" spans="1:9" ht="12.75" hidden="1">
      <c r="A3" s="25"/>
      <c r="B3" s="35" t="s">
        <v>61</v>
      </c>
      <c r="C3" s="36" t="s">
        <v>62</v>
      </c>
      <c r="D3" s="37"/>
      <c r="E3" s="26" t="s">
        <v>63</v>
      </c>
      <c r="F3" s="33"/>
      <c r="G3" s="33"/>
      <c r="H3" s="33"/>
      <c r="I3" s="34"/>
    </row>
    <row r="4" spans="1:9" ht="12.75" hidden="1">
      <c r="A4" s="25"/>
      <c r="B4" s="35" t="s">
        <v>64</v>
      </c>
      <c r="C4" s="38">
        <v>244000</v>
      </c>
      <c r="D4" s="37"/>
      <c r="E4" s="26"/>
      <c r="F4" s="33"/>
      <c r="G4" s="33"/>
      <c r="H4" s="33"/>
      <c r="I4" s="34"/>
    </row>
    <row r="5" spans="1:9" ht="13.5" hidden="1">
      <c r="A5" s="25"/>
      <c r="B5" s="35" t="s">
        <v>65</v>
      </c>
      <c r="C5" s="39">
        <f>'[1]KC format'!Q13-C4</f>
        <v>40252</v>
      </c>
      <c r="D5" s="40" t="s">
        <v>66</v>
      </c>
      <c r="E5" s="26"/>
      <c r="F5" s="32"/>
      <c r="G5" s="32"/>
      <c r="H5" s="32"/>
      <c r="I5" s="34"/>
    </row>
    <row r="6" spans="1:9" ht="13.5" hidden="1">
      <c r="A6" s="25"/>
      <c r="B6" s="35" t="s">
        <v>67</v>
      </c>
      <c r="C6" s="41">
        <v>22</v>
      </c>
      <c r="D6" s="40" t="s">
        <v>68</v>
      </c>
      <c r="E6" s="26"/>
      <c r="F6" s="42"/>
      <c r="G6" s="42"/>
      <c r="H6" s="32"/>
      <c r="I6" s="34"/>
    </row>
    <row r="7" spans="1:9" ht="12.75" hidden="1">
      <c r="A7" s="25"/>
      <c r="B7" s="35" t="s">
        <v>69</v>
      </c>
      <c r="C7" s="43">
        <f>G2/H2</f>
        <v>0.18228609037734123</v>
      </c>
      <c r="D7" s="37"/>
      <c r="E7" s="26"/>
      <c r="F7" s="32"/>
      <c r="G7" s="32"/>
      <c r="H7" s="32"/>
      <c r="I7" s="34"/>
    </row>
    <row r="8" spans="1:8" ht="12.75" hidden="1">
      <c r="A8" s="44"/>
      <c r="B8" s="35" t="s">
        <v>70</v>
      </c>
      <c r="C8" s="38">
        <f>'[1]KC format'!U99</f>
        <v>18400093.037069067</v>
      </c>
      <c r="D8" s="37"/>
      <c r="E8" s="26"/>
      <c r="F8" s="26"/>
      <c r="G8" s="26"/>
      <c r="H8" s="26"/>
    </row>
    <row r="9" spans="1:8" ht="12.75" hidden="1">
      <c r="A9" s="25"/>
      <c r="B9" s="35" t="s">
        <v>71</v>
      </c>
      <c r="C9" s="45">
        <f>'[1]KC format'!Q165</f>
        <v>23252</v>
      </c>
      <c r="D9" s="37"/>
      <c r="E9" s="26"/>
      <c r="F9" s="26"/>
      <c r="G9" s="26"/>
      <c r="H9" s="26"/>
    </row>
    <row r="10" spans="1:8" ht="12.75" hidden="1">
      <c r="A10" s="25"/>
      <c r="B10" s="35" t="s">
        <v>72</v>
      </c>
      <c r="C10" s="45">
        <f>'[1]KC format'!Q15</f>
        <v>11010</v>
      </c>
      <c r="D10" s="37"/>
      <c r="E10" s="26"/>
      <c r="F10" s="26"/>
      <c r="G10" s="26"/>
      <c r="H10" s="26"/>
    </row>
    <row r="11" spans="1:8" ht="12.75" hidden="1">
      <c r="A11" s="25"/>
      <c r="B11" s="35" t="s">
        <v>73</v>
      </c>
      <c r="C11" s="45">
        <f>C9-C10</f>
        <v>12242</v>
      </c>
      <c r="D11" s="37"/>
      <c r="E11" s="26"/>
      <c r="F11" s="26"/>
      <c r="G11" s="26"/>
      <c r="H11" s="26"/>
    </row>
    <row r="12" spans="1:8" ht="12.75" hidden="1">
      <c r="A12" s="25"/>
      <c r="B12" s="35" t="s">
        <v>74</v>
      </c>
      <c r="C12" s="46">
        <v>0.4</v>
      </c>
      <c r="D12" s="37"/>
      <c r="E12" s="26"/>
      <c r="F12" s="26"/>
      <c r="G12" s="26"/>
      <c r="H12" s="26"/>
    </row>
    <row r="13" spans="1:8" ht="12.75" hidden="1">
      <c r="A13" s="25"/>
      <c r="B13" s="35" t="s">
        <v>75</v>
      </c>
      <c r="C13" s="47">
        <f>'[1]Proviso Summary'!K100</f>
        <v>85926009.08400707</v>
      </c>
      <c r="D13" s="37"/>
      <c r="E13" s="26"/>
      <c r="F13" s="26"/>
      <c r="G13" s="26"/>
      <c r="H13" s="26"/>
    </row>
    <row r="14" spans="1:8" ht="12.75" hidden="1">
      <c r="A14" s="25"/>
      <c r="B14" s="48" t="s">
        <v>76</v>
      </c>
      <c r="C14" s="49">
        <f>C2-C13</f>
        <v>15014731.918117478</v>
      </c>
      <c r="D14" s="37"/>
      <c r="E14" s="50">
        <v>9998089.98852311</v>
      </c>
      <c r="F14" s="50">
        <f>C14-E14</f>
        <v>5016641.929594368</v>
      </c>
      <c r="G14" s="26"/>
      <c r="H14" s="26"/>
    </row>
    <row r="15" spans="1:8" ht="12.75" hidden="1">
      <c r="A15" s="25"/>
      <c r="B15" s="35" t="s">
        <v>77</v>
      </c>
      <c r="C15" s="51">
        <v>0.0525</v>
      </c>
      <c r="D15" s="37"/>
      <c r="E15" s="26"/>
      <c r="F15" s="26"/>
      <c r="G15" s="26"/>
      <c r="H15" s="26"/>
    </row>
    <row r="16" spans="1:8" ht="12.75" hidden="1">
      <c r="A16" s="25"/>
      <c r="B16" s="35" t="s">
        <v>78</v>
      </c>
      <c r="C16" s="52">
        <v>27.5</v>
      </c>
      <c r="D16" s="37"/>
      <c r="E16" s="26"/>
      <c r="F16" s="26"/>
      <c r="G16" s="26"/>
      <c r="H16" s="26"/>
    </row>
    <row r="17" spans="1:8" ht="12.75" hidden="1">
      <c r="A17" s="25"/>
      <c r="B17" s="35" t="s">
        <v>79</v>
      </c>
      <c r="C17" s="52">
        <v>25</v>
      </c>
      <c r="D17" s="37"/>
      <c r="E17" s="26"/>
      <c r="F17" s="26"/>
      <c r="G17" s="26"/>
      <c r="H17" s="26"/>
    </row>
    <row r="18" spans="1:8" ht="12.75" hidden="1">
      <c r="A18" s="25"/>
      <c r="B18" s="35" t="s">
        <v>80</v>
      </c>
      <c r="C18" s="53">
        <f>-PMT($C$15,$C$16,C13)</f>
        <v>5973764.938385137</v>
      </c>
      <c r="D18" s="37"/>
      <c r="E18" s="26"/>
      <c r="F18" s="54">
        <f>F2/288000</f>
        <v>286.5994721008871</v>
      </c>
      <c r="G18" s="26"/>
      <c r="H18" s="26"/>
    </row>
    <row r="19" spans="1:8" ht="12.75" hidden="1">
      <c r="A19" s="25"/>
      <c r="B19" s="48" t="s">
        <v>81</v>
      </c>
      <c r="C19" s="55">
        <f>-PMT($C$15,$C$16,C14)</f>
        <v>1043857.1516106494</v>
      </c>
      <c r="D19" s="37"/>
      <c r="E19" s="26"/>
      <c r="F19" s="54">
        <f>F3/288000</f>
        <v>0</v>
      </c>
      <c r="G19" s="26"/>
      <c r="H19" s="26"/>
    </row>
    <row r="20" spans="1:8" ht="12.75" hidden="1">
      <c r="A20" s="25"/>
      <c r="B20" s="35" t="s">
        <v>82</v>
      </c>
      <c r="C20" s="53">
        <f>261000*'[1]Financing Proforma info'!B10</f>
        <v>236248.76549801353</v>
      </c>
      <c r="D20" s="37"/>
      <c r="E20" s="26"/>
      <c r="F20" s="26"/>
      <c r="G20" s="26"/>
      <c r="H20" s="26"/>
    </row>
    <row r="21" spans="1:8" ht="12.75" hidden="1">
      <c r="A21" s="25"/>
      <c r="B21" s="35" t="s">
        <v>83</v>
      </c>
      <c r="C21" s="53">
        <f>-PMT($C$15,C17,'[1]Financing Proforma info'!B12*'[1]Financing Proforma info'!B11)</f>
        <v>87288.78849963626</v>
      </c>
      <c r="D21" s="37"/>
      <c r="E21" s="26"/>
      <c r="F21" s="26"/>
      <c r="G21" s="26"/>
      <c r="H21" s="26"/>
    </row>
    <row r="22" spans="1:8" ht="12.75" hidden="1">
      <c r="A22" s="25"/>
      <c r="B22" s="35" t="s">
        <v>84</v>
      </c>
      <c r="C22" s="56">
        <v>0</v>
      </c>
      <c r="D22" s="37"/>
      <c r="E22" s="26"/>
      <c r="F22" s="26"/>
      <c r="G22" s="26"/>
      <c r="H22" s="26"/>
    </row>
    <row r="23" spans="1:8" ht="12.75" hidden="1">
      <c r="A23" s="25"/>
      <c r="B23" s="35" t="s">
        <v>85</v>
      </c>
      <c r="C23" s="53">
        <f>-PMT($C$15,$C$16,C22)</f>
        <v>0</v>
      </c>
      <c r="D23" s="37"/>
      <c r="E23" s="26"/>
      <c r="F23" s="26"/>
      <c r="G23" s="26"/>
      <c r="H23" s="26"/>
    </row>
    <row r="24" spans="1:8" ht="12.75" hidden="1">
      <c r="A24" s="25"/>
      <c r="B24" s="35" t="s">
        <v>86</v>
      </c>
      <c r="C24" s="57">
        <v>0.03</v>
      </c>
      <c r="D24" s="37"/>
      <c r="E24" s="26"/>
      <c r="F24" s="26"/>
      <c r="G24" s="26"/>
      <c r="H24" s="26"/>
    </row>
    <row r="25" spans="1:8" ht="12.75" hidden="1">
      <c r="A25" s="25"/>
      <c r="B25" s="35" t="s">
        <v>87</v>
      </c>
      <c r="C25" s="57">
        <v>0.03</v>
      </c>
      <c r="D25" s="37"/>
      <c r="E25" s="26"/>
      <c r="F25" s="26"/>
      <c r="G25" s="26"/>
      <c r="H25" s="26"/>
    </row>
    <row r="26" spans="1:8" ht="12.75" hidden="1">
      <c r="A26" s="25"/>
      <c r="B26" s="35" t="s">
        <v>88</v>
      </c>
      <c r="C26" s="57">
        <v>0.08</v>
      </c>
      <c r="D26" s="37"/>
      <c r="E26" s="26"/>
      <c r="F26" s="26"/>
      <c r="G26" s="26"/>
      <c r="H26" s="26"/>
    </row>
    <row r="27" spans="1:8" ht="12.75" hidden="1">
      <c r="A27" s="25"/>
      <c r="B27" s="35"/>
      <c r="C27" s="52"/>
      <c r="D27" s="37"/>
      <c r="E27" s="26"/>
      <c r="F27" s="26"/>
      <c r="G27" s="26"/>
      <c r="H27" s="26"/>
    </row>
    <row r="28" spans="1:8" ht="12.75" hidden="1">
      <c r="A28" s="25"/>
      <c r="B28" s="35" t="s">
        <v>89</v>
      </c>
      <c r="C28" s="53">
        <f>ROUND(AD78,-5)</f>
        <v>80300000</v>
      </c>
      <c r="D28" s="37"/>
      <c r="E28" s="26"/>
      <c r="F28" s="26"/>
      <c r="G28" s="26"/>
      <c r="H28" s="26"/>
    </row>
    <row r="29" spans="1:8" ht="12.75" hidden="1">
      <c r="A29" s="25"/>
      <c r="B29" s="35" t="s">
        <v>90</v>
      </c>
      <c r="C29" s="53">
        <f>ROUND(AG84,-5)</f>
        <v>40600000</v>
      </c>
      <c r="D29" s="37"/>
      <c r="E29" s="26"/>
      <c r="F29" s="26"/>
      <c r="G29" s="26"/>
      <c r="H29" s="26"/>
    </row>
    <row r="30" spans="1:8" ht="12.75" hidden="1">
      <c r="A30" s="25"/>
      <c r="B30" s="35" t="s">
        <v>91</v>
      </c>
      <c r="C30" s="53">
        <f>ROUND(AE84,-5)</f>
        <v>6100000</v>
      </c>
      <c r="D30" s="37"/>
      <c r="E30" s="26"/>
      <c r="F30" s="26"/>
      <c r="G30" s="26"/>
      <c r="H30" s="26"/>
    </row>
    <row r="31" spans="1:8" ht="12.75" hidden="1">
      <c r="A31" s="25"/>
      <c r="B31" s="35" t="s">
        <v>92</v>
      </c>
      <c r="C31" s="53">
        <f>A72</f>
        <v>16200000</v>
      </c>
      <c r="D31" s="37" t="s">
        <v>93</v>
      </c>
      <c r="E31" s="26"/>
      <c r="F31" s="26"/>
      <c r="G31" s="26"/>
      <c r="H31" s="26"/>
    </row>
    <row r="32" spans="1:8" ht="12.75" hidden="1">
      <c r="A32" s="25"/>
      <c r="B32" s="35" t="s">
        <v>94</v>
      </c>
      <c r="C32" s="53">
        <f>A65-A56</f>
        <v>-6900000</v>
      </c>
      <c r="D32" s="37" t="s">
        <v>93</v>
      </c>
      <c r="E32" s="26"/>
      <c r="F32" s="26"/>
      <c r="G32" s="26"/>
      <c r="H32" s="26"/>
    </row>
    <row r="33" spans="1:8" ht="12.75" hidden="1">
      <c r="A33" s="25"/>
      <c r="B33" s="35"/>
      <c r="C33" s="52"/>
      <c r="D33" s="37"/>
      <c r="E33" s="26" t="s">
        <v>95</v>
      </c>
      <c r="F33" s="26"/>
      <c r="G33" s="26"/>
      <c r="H33" s="26"/>
    </row>
    <row r="34" spans="1:8" ht="12.75" hidden="1">
      <c r="A34" s="25"/>
      <c r="B34" s="58" t="s">
        <v>96</v>
      </c>
      <c r="C34" s="52"/>
      <c r="D34" s="37"/>
      <c r="E34" s="26"/>
      <c r="F34" s="26"/>
      <c r="G34" s="26"/>
      <c r="H34" s="26"/>
    </row>
    <row r="35" spans="1:8" ht="16.5" hidden="1" thickBot="1">
      <c r="A35" s="25"/>
      <c r="B35" s="59">
        <v>0.08</v>
      </c>
      <c r="C35" s="60"/>
      <c r="D35" s="61"/>
      <c r="E35" s="26"/>
      <c r="F35" s="26"/>
      <c r="G35" s="26"/>
      <c r="H35" s="26"/>
    </row>
    <row r="36" spans="1:8" ht="12.75" hidden="1">
      <c r="A36" s="25"/>
      <c r="B36" s="42"/>
      <c r="C36" s="26"/>
      <c r="D36" s="26"/>
      <c r="E36" s="26"/>
      <c r="F36" s="26"/>
      <c r="G36" s="26"/>
      <c r="H36" s="26"/>
    </row>
    <row r="37" spans="1:8" ht="12.75" hidden="1">
      <c r="A37" s="25"/>
      <c r="B37" s="62" t="s">
        <v>97</v>
      </c>
      <c r="C37" s="63" t="s">
        <v>98</v>
      </c>
      <c r="D37" s="31"/>
      <c r="E37" s="26"/>
      <c r="F37" s="26"/>
      <c r="G37" s="26"/>
      <c r="H37" s="26"/>
    </row>
    <row r="38" spans="1:8" ht="12.75" hidden="1">
      <c r="A38" s="25"/>
      <c r="B38" s="64"/>
      <c r="C38" s="47">
        <f>'[1]Current Parking Net'!E44</f>
        <v>957000</v>
      </c>
      <c r="D38" s="37"/>
      <c r="E38" s="26"/>
      <c r="F38" s="26"/>
      <c r="G38" s="26"/>
      <c r="H38" s="26"/>
    </row>
    <row r="39" spans="1:8" ht="12.75" hidden="1">
      <c r="A39" s="25"/>
      <c r="B39" s="64"/>
      <c r="C39" s="52" t="s">
        <v>99</v>
      </c>
      <c r="D39" s="37"/>
      <c r="E39" s="26"/>
      <c r="F39" s="26"/>
      <c r="G39" s="26"/>
      <c r="H39" s="26"/>
    </row>
    <row r="40" spans="1:8" ht="12.75" hidden="1">
      <c r="A40" s="25"/>
      <c r="B40" s="64"/>
      <c r="C40" s="56">
        <f>C38*(1+C25)^3</f>
        <v>1045739.7390000001</v>
      </c>
      <c r="D40" s="65">
        <f>C40/730/12</f>
        <v>119.37668253424658</v>
      </c>
      <c r="E40" s="26"/>
      <c r="F40" s="26">
        <f>460000</f>
        <v>460000</v>
      </c>
      <c r="G40" s="26"/>
      <c r="H40" s="26"/>
    </row>
    <row r="41" spans="1:8" ht="12.75" hidden="1">
      <c r="A41" s="25"/>
      <c r="B41" s="64"/>
      <c r="C41" s="52"/>
      <c r="D41" s="37"/>
      <c r="E41" s="26"/>
      <c r="F41" s="26">
        <v>250</v>
      </c>
      <c r="G41" s="26"/>
      <c r="H41" s="26"/>
    </row>
    <row r="42" spans="1:8" ht="12.75" hidden="1">
      <c r="A42" s="25"/>
      <c r="B42" s="64"/>
      <c r="C42" s="56"/>
      <c r="D42" s="37"/>
      <c r="E42" s="26"/>
      <c r="F42" s="26">
        <f>F40/F41</f>
        <v>1840</v>
      </c>
      <c r="G42" s="26"/>
      <c r="H42" s="26"/>
    </row>
    <row r="43" spans="1:8" ht="12.75" hidden="1">
      <c r="A43" s="25"/>
      <c r="B43" s="66"/>
      <c r="C43" s="67"/>
      <c r="D43" s="37"/>
      <c r="E43" s="26"/>
      <c r="F43" s="68">
        <f>F42/12</f>
        <v>153.33333333333334</v>
      </c>
      <c r="G43" s="69">
        <f>F43-D40</f>
        <v>33.95665079908676</v>
      </c>
      <c r="H43" s="69">
        <f>G43*12*730</f>
        <v>297460.261</v>
      </c>
    </row>
    <row r="44" spans="1:8" ht="13.5" hidden="1" thickBot="1">
      <c r="A44" s="25"/>
      <c r="B44" s="70"/>
      <c r="C44" s="71"/>
      <c r="D44" s="61"/>
      <c r="E44" s="26"/>
      <c r="F44" s="26"/>
      <c r="G44" s="26"/>
      <c r="H44" s="26"/>
    </row>
    <row r="45" spans="1:8" ht="12.75" hidden="1">
      <c r="A45" s="25"/>
      <c r="B45" s="42"/>
      <c r="C45" s="26"/>
      <c r="D45" s="26"/>
      <c r="E45" s="26"/>
      <c r="F45" s="26"/>
      <c r="G45" s="26"/>
      <c r="H45" s="26"/>
    </row>
    <row r="46" spans="1:8" ht="12.75" hidden="1">
      <c r="A46" s="25"/>
      <c r="B46" s="42"/>
      <c r="C46" s="26"/>
      <c r="D46" s="26"/>
      <c r="E46" s="26"/>
      <c r="F46" s="26"/>
      <c r="G46" s="26"/>
      <c r="H46" s="26"/>
    </row>
    <row r="47" spans="1:8" ht="12.75">
      <c r="A47" s="25"/>
      <c r="B47" s="42"/>
      <c r="C47" s="26"/>
      <c r="D47" s="26"/>
      <c r="E47" s="26"/>
      <c r="F47" s="26"/>
      <c r="G47" s="26"/>
      <c r="H47" s="26"/>
    </row>
    <row r="48" spans="1:8" ht="15.75">
      <c r="A48" s="25"/>
      <c r="B48" s="72" t="s">
        <v>100</v>
      </c>
      <c r="C48" s="26"/>
      <c r="D48" s="26"/>
      <c r="E48" s="26"/>
      <c r="F48" s="26"/>
      <c r="G48" s="26"/>
      <c r="H48" s="26"/>
    </row>
    <row r="49" spans="1:8" ht="12.75">
      <c r="A49" s="25"/>
      <c r="B49" s="42"/>
      <c r="C49" s="26"/>
      <c r="D49" s="26"/>
      <c r="E49" s="26"/>
      <c r="F49" s="26"/>
      <c r="G49" s="26"/>
      <c r="H49" s="26"/>
    </row>
    <row r="50" spans="1:33" ht="12.75">
      <c r="A50" s="25"/>
      <c r="B50" s="73" t="s">
        <v>101</v>
      </c>
      <c r="C50" s="26"/>
      <c r="D50" s="26"/>
      <c r="E50" s="26"/>
      <c r="F50" s="26"/>
      <c r="G50" s="26"/>
      <c r="H50" s="26"/>
      <c r="AG50" s="18" t="s">
        <v>102</v>
      </c>
    </row>
    <row r="51" spans="1:32" ht="12.75">
      <c r="A51" s="74">
        <f>A55+A56</f>
        <v>77500000</v>
      </c>
      <c r="B51" s="26"/>
      <c r="C51" s="26">
        <v>1</v>
      </c>
      <c r="D51" s="75">
        <f>C51+1</f>
        <v>2</v>
      </c>
      <c r="E51" s="75">
        <f aca="true" t="shared" si="0" ref="E51:AF52">D51+1</f>
        <v>3</v>
      </c>
      <c r="F51" s="75">
        <f t="shared" si="0"/>
        <v>4</v>
      </c>
      <c r="G51" s="75">
        <f t="shared" si="0"/>
        <v>5</v>
      </c>
      <c r="H51" s="75">
        <f t="shared" si="0"/>
        <v>6</v>
      </c>
      <c r="I51" s="76">
        <f t="shared" si="0"/>
        <v>7</v>
      </c>
      <c r="J51" s="76">
        <f t="shared" si="0"/>
        <v>8</v>
      </c>
      <c r="K51" s="76">
        <f t="shared" si="0"/>
        <v>9</v>
      </c>
      <c r="L51" s="76">
        <f t="shared" si="0"/>
        <v>10</v>
      </c>
      <c r="M51" s="76">
        <f t="shared" si="0"/>
        <v>11</v>
      </c>
      <c r="N51" s="76">
        <f t="shared" si="0"/>
        <v>12</v>
      </c>
      <c r="O51" s="76">
        <f t="shared" si="0"/>
        <v>13</v>
      </c>
      <c r="P51" s="76">
        <f t="shared" si="0"/>
        <v>14</v>
      </c>
      <c r="Q51" s="76">
        <f t="shared" si="0"/>
        <v>15</v>
      </c>
      <c r="R51" s="76">
        <f t="shared" si="0"/>
        <v>16</v>
      </c>
      <c r="S51" s="76">
        <f t="shared" si="0"/>
        <v>17</v>
      </c>
      <c r="T51" s="76">
        <f t="shared" si="0"/>
        <v>18</v>
      </c>
      <c r="U51" s="76">
        <f t="shared" si="0"/>
        <v>19</v>
      </c>
      <c r="V51" s="76">
        <f t="shared" si="0"/>
        <v>20</v>
      </c>
      <c r="W51" s="76">
        <f t="shared" si="0"/>
        <v>21</v>
      </c>
      <c r="X51" s="76">
        <f t="shared" si="0"/>
        <v>22</v>
      </c>
      <c r="Y51" s="76">
        <f t="shared" si="0"/>
        <v>23</v>
      </c>
      <c r="Z51" s="76">
        <f t="shared" si="0"/>
        <v>24</v>
      </c>
      <c r="AA51" s="76">
        <f t="shared" si="0"/>
        <v>25</v>
      </c>
      <c r="AB51" s="76">
        <f t="shared" si="0"/>
        <v>26</v>
      </c>
      <c r="AC51" s="76">
        <f t="shared" si="0"/>
        <v>27</v>
      </c>
      <c r="AD51" s="76">
        <f t="shared" si="0"/>
        <v>28</v>
      </c>
      <c r="AE51" s="76">
        <f t="shared" si="0"/>
        <v>29</v>
      </c>
      <c r="AF51" s="76">
        <f t="shared" si="0"/>
        <v>30</v>
      </c>
    </row>
    <row r="52" spans="1:32" ht="12.75">
      <c r="A52" s="25"/>
      <c r="B52" s="26" t="s">
        <v>95</v>
      </c>
      <c r="C52" s="26">
        <v>2007</v>
      </c>
      <c r="D52" s="26">
        <f>C52+1</f>
        <v>2008</v>
      </c>
      <c r="E52" s="26">
        <f>D52+1</f>
        <v>2009</v>
      </c>
      <c r="F52" s="26">
        <f>E52+1</f>
        <v>2010</v>
      </c>
      <c r="G52" s="26">
        <f>F52+1</f>
        <v>2011</v>
      </c>
      <c r="H52" s="26">
        <f t="shared" si="0"/>
        <v>2012</v>
      </c>
      <c r="I52" s="18">
        <f t="shared" si="0"/>
        <v>2013</v>
      </c>
      <c r="J52" s="18">
        <f t="shared" si="0"/>
        <v>2014</v>
      </c>
      <c r="K52" s="18">
        <f t="shared" si="0"/>
        <v>2015</v>
      </c>
      <c r="L52" s="18">
        <f t="shared" si="0"/>
        <v>2016</v>
      </c>
      <c r="M52" s="18">
        <f t="shared" si="0"/>
        <v>2017</v>
      </c>
      <c r="N52" s="18">
        <f t="shared" si="0"/>
        <v>2018</v>
      </c>
      <c r="O52" s="18">
        <f t="shared" si="0"/>
        <v>2019</v>
      </c>
      <c r="P52" s="18">
        <f t="shared" si="0"/>
        <v>2020</v>
      </c>
      <c r="Q52" s="18">
        <f t="shared" si="0"/>
        <v>2021</v>
      </c>
      <c r="R52" s="18">
        <f t="shared" si="0"/>
        <v>2022</v>
      </c>
      <c r="S52" s="18">
        <f t="shared" si="0"/>
        <v>2023</v>
      </c>
      <c r="T52" s="18">
        <f t="shared" si="0"/>
        <v>2024</v>
      </c>
      <c r="U52" s="18">
        <f t="shared" si="0"/>
        <v>2025</v>
      </c>
      <c r="V52" s="18">
        <f>U52+1</f>
        <v>2026</v>
      </c>
      <c r="W52" s="18">
        <f t="shared" si="0"/>
        <v>2027</v>
      </c>
      <c r="X52" s="18">
        <f t="shared" si="0"/>
        <v>2028</v>
      </c>
      <c r="Y52" s="18">
        <f t="shared" si="0"/>
        <v>2029</v>
      </c>
      <c r="Z52" s="18">
        <f t="shared" si="0"/>
        <v>2030</v>
      </c>
      <c r="AA52" s="18">
        <f t="shared" si="0"/>
        <v>2031</v>
      </c>
      <c r="AB52" s="18">
        <f t="shared" si="0"/>
        <v>2032</v>
      </c>
      <c r="AC52" s="18">
        <f t="shared" si="0"/>
        <v>2033</v>
      </c>
      <c r="AD52" s="18">
        <f t="shared" si="0"/>
        <v>2034</v>
      </c>
      <c r="AE52" s="18">
        <f t="shared" si="0"/>
        <v>2035</v>
      </c>
      <c r="AF52" s="18">
        <f t="shared" si="0"/>
        <v>2036</v>
      </c>
    </row>
    <row r="53" spans="1:8" ht="12.75">
      <c r="A53" s="25"/>
      <c r="B53" s="73" t="s">
        <v>103</v>
      </c>
      <c r="C53" s="26"/>
      <c r="D53" s="26"/>
      <c r="E53" s="26"/>
      <c r="F53" s="26"/>
      <c r="G53" s="26"/>
      <c r="H53" s="26"/>
    </row>
    <row r="54" spans="1:8" ht="12.75">
      <c r="A54" s="25"/>
      <c r="B54" s="26"/>
      <c r="C54" s="26"/>
      <c r="D54" s="26"/>
      <c r="E54" s="26"/>
      <c r="F54" s="26"/>
      <c r="G54" s="26"/>
      <c r="H54" s="26"/>
    </row>
    <row r="55" spans="1:32" ht="12.75">
      <c r="A55" s="77">
        <f>ROUND(NPV($C$26,C55:AD55),-5)</f>
        <v>66000000</v>
      </c>
      <c r="B55" s="26" t="s">
        <v>104</v>
      </c>
      <c r="C55" s="75">
        <f>IF(C$51&lt;=ROUNDUP($C$16,0),$C$18,0)</f>
        <v>5973764.938385137</v>
      </c>
      <c r="D55" s="75">
        <f aca="true" t="shared" si="1" ref="D55:AF55">IF(D51&lt;=ROUNDUP($C$16,0),$C$18,0)</f>
        <v>5973764.938385137</v>
      </c>
      <c r="E55" s="75">
        <f t="shared" si="1"/>
        <v>5973764.938385137</v>
      </c>
      <c r="F55" s="75">
        <f t="shared" si="1"/>
        <v>5973764.938385137</v>
      </c>
      <c r="G55" s="75">
        <f t="shared" si="1"/>
        <v>5973764.938385137</v>
      </c>
      <c r="H55" s="75">
        <f t="shared" si="1"/>
        <v>5973764.938385137</v>
      </c>
      <c r="I55" s="76">
        <f t="shared" si="1"/>
        <v>5973764.938385137</v>
      </c>
      <c r="J55" s="76">
        <f t="shared" si="1"/>
        <v>5973764.938385137</v>
      </c>
      <c r="K55" s="76">
        <f t="shared" si="1"/>
        <v>5973764.938385137</v>
      </c>
      <c r="L55" s="76">
        <f t="shared" si="1"/>
        <v>5973764.938385137</v>
      </c>
      <c r="M55" s="76">
        <f t="shared" si="1"/>
        <v>5973764.938385137</v>
      </c>
      <c r="N55" s="76">
        <f t="shared" si="1"/>
        <v>5973764.938385137</v>
      </c>
      <c r="O55" s="76">
        <f t="shared" si="1"/>
        <v>5973764.938385137</v>
      </c>
      <c r="P55" s="76">
        <f t="shared" si="1"/>
        <v>5973764.938385137</v>
      </c>
      <c r="Q55" s="76">
        <f t="shared" si="1"/>
        <v>5973764.938385137</v>
      </c>
      <c r="R55" s="76">
        <f t="shared" si="1"/>
        <v>5973764.938385137</v>
      </c>
      <c r="S55" s="76">
        <f t="shared" si="1"/>
        <v>5973764.938385137</v>
      </c>
      <c r="T55" s="76">
        <f t="shared" si="1"/>
        <v>5973764.938385137</v>
      </c>
      <c r="U55" s="76">
        <f t="shared" si="1"/>
        <v>5973764.938385137</v>
      </c>
      <c r="V55" s="76">
        <f t="shared" si="1"/>
        <v>5973764.938385137</v>
      </c>
      <c r="W55" s="76">
        <f t="shared" si="1"/>
        <v>5973764.938385137</v>
      </c>
      <c r="X55" s="76">
        <f t="shared" si="1"/>
        <v>5973764.938385137</v>
      </c>
      <c r="Y55" s="76">
        <f t="shared" si="1"/>
        <v>5973764.938385137</v>
      </c>
      <c r="Z55" s="76">
        <f t="shared" si="1"/>
        <v>5973764.938385137</v>
      </c>
      <c r="AA55" s="76">
        <f t="shared" si="1"/>
        <v>5973764.938385137</v>
      </c>
      <c r="AB55" s="76">
        <f t="shared" si="1"/>
        <v>5973764.938385137</v>
      </c>
      <c r="AC55" s="76">
        <f t="shared" si="1"/>
        <v>5973764.938385137</v>
      </c>
      <c r="AD55" s="76">
        <f t="shared" si="1"/>
        <v>5973764.938385137</v>
      </c>
      <c r="AE55" s="76">
        <f t="shared" si="1"/>
        <v>0</v>
      </c>
      <c r="AF55" s="76">
        <f t="shared" si="1"/>
        <v>0</v>
      </c>
    </row>
    <row r="56" spans="1:32" ht="12.75">
      <c r="A56" s="78">
        <f>ROUND(NPV($C$26,C56:AD56),-5)</f>
        <v>11500000</v>
      </c>
      <c r="B56" s="79" t="s">
        <v>105</v>
      </c>
      <c r="C56" s="75">
        <f aca="true" t="shared" si="2" ref="C56:AF56">IF(C$51&lt;=ROUNDUP($C$16,0),$C$19,0)</f>
        <v>1043857.1516106494</v>
      </c>
      <c r="D56" s="75">
        <f t="shared" si="2"/>
        <v>1043857.1516106494</v>
      </c>
      <c r="E56" s="75">
        <f t="shared" si="2"/>
        <v>1043857.1516106494</v>
      </c>
      <c r="F56" s="75">
        <f t="shared" si="2"/>
        <v>1043857.1516106494</v>
      </c>
      <c r="G56" s="75">
        <f t="shared" si="2"/>
        <v>1043857.1516106494</v>
      </c>
      <c r="H56" s="75">
        <f t="shared" si="2"/>
        <v>1043857.1516106494</v>
      </c>
      <c r="I56" s="76">
        <f t="shared" si="2"/>
        <v>1043857.1516106494</v>
      </c>
      <c r="J56" s="76">
        <f t="shared" si="2"/>
        <v>1043857.1516106494</v>
      </c>
      <c r="K56" s="76">
        <f t="shared" si="2"/>
        <v>1043857.1516106494</v>
      </c>
      <c r="L56" s="76">
        <f t="shared" si="2"/>
        <v>1043857.1516106494</v>
      </c>
      <c r="M56" s="76">
        <f t="shared" si="2"/>
        <v>1043857.1516106494</v>
      </c>
      <c r="N56" s="76">
        <f t="shared" si="2"/>
        <v>1043857.1516106494</v>
      </c>
      <c r="O56" s="76">
        <f t="shared" si="2"/>
        <v>1043857.1516106494</v>
      </c>
      <c r="P56" s="76">
        <f t="shared" si="2"/>
        <v>1043857.1516106494</v>
      </c>
      <c r="Q56" s="76">
        <f t="shared" si="2"/>
        <v>1043857.1516106494</v>
      </c>
      <c r="R56" s="76">
        <f t="shared" si="2"/>
        <v>1043857.1516106494</v>
      </c>
      <c r="S56" s="76">
        <f t="shared" si="2"/>
        <v>1043857.1516106494</v>
      </c>
      <c r="T56" s="76">
        <f t="shared" si="2"/>
        <v>1043857.1516106494</v>
      </c>
      <c r="U56" s="76">
        <f t="shared" si="2"/>
        <v>1043857.1516106494</v>
      </c>
      <c r="V56" s="76">
        <f t="shared" si="2"/>
        <v>1043857.1516106494</v>
      </c>
      <c r="W56" s="76">
        <f t="shared" si="2"/>
        <v>1043857.1516106494</v>
      </c>
      <c r="X56" s="76">
        <f t="shared" si="2"/>
        <v>1043857.1516106494</v>
      </c>
      <c r="Y56" s="76">
        <f t="shared" si="2"/>
        <v>1043857.1516106494</v>
      </c>
      <c r="Z56" s="76">
        <f t="shared" si="2"/>
        <v>1043857.1516106494</v>
      </c>
      <c r="AA56" s="76">
        <f t="shared" si="2"/>
        <v>1043857.1516106494</v>
      </c>
      <c r="AB56" s="76">
        <f t="shared" si="2"/>
        <v>1043857.1516106494</v>
      </c>
      <c r="AC56" s="76">
        <f t="shared" si="2"/>
        <v>1043857.1516106494</v>
      </c>
      <c r="AD56" s="76">
        <f t="shared" si="2"/>
        <v>1043857.1516106494</v>
      </c>
      <c r="AE56" s="76">
        <f t="shared" si="2"/>
        <v>0</v>
      </c>
      <c r="AF56" s="76">
        <f t="shared" si="2"/>
        <v>0</v>
      </c>
    </row>
    <row r="57" spans="1:32" ht="12.75">
      <c r="A57" s="77">
        <f>ROUND(NPV($C$26,C57:AD57),-5)</f>
        <v>3500000</v>
      </c>
      <c r="B57" s="26" t="s">
        <v>82</v>
      </c>
      <c r="C57" s="75">
        <f>C20</f>
        <v>236248.76549801353</v>
      </c>
      <c r="D57" s="75">
        <f>C57*(1+'[1]Financing Proforma info'!$B$6)</f>
        <v>243336.22846295394</v>
      </c>
      <c r="E57" s="75">
        <f>D57*(1+'[1]Financing Proforma info'!$B$6)</f>
        <v>250636.31531684255</v>
      </c>
      <c r="F57" s="75">
        <f>E57*(1+'[1]Financing Proforma info'!$B$6)</f>
        <v>258155.40477634783</v>
      </c>
      <c r="G57" s="75">
        <f>F57*(1+'[1]Financing Proforma info'!$B$6)</f>
        <v>265900.06691963825</v>
      </c>
      <c r="H57" s="75">
        <f>G57*(1+'[1]Financing Proforma info'!$B$6)</f>
        <v>273877.0689272274</v>
      </c>
      <c r="I57" s="76">
        <f>H57*(1+'[1]Financing Proforma info'!$B$6)</f>
        <v>282093.38099504425</v>
      </c>
      <c r="J57" s="76">
        <f>I57*(1+'[1]Financing Proforma info'!$B$6)</f>
        <v>290556.1824248956</v>
      </c>
      <c r="K57" s="76">
        <f>J57*(1+'[1]Financing Proforma info'!$B$6)</f>
        <v>299272.8678976425</v>
      </c>
      <c r="L57" s="76">
        <f>K57*(1+'[1]Financing Proforma info'!$B$6)</f>
        <v>308251.05393457174</v>
      </c>
      <c r="M57" s="76">
        <f>L57*(1+'[1]Financing Proforma info'!$B$6)</f>
        <v>317498.5855526089</v>
      </c>
      <c r="N57" s="76">
        <f>M57*(1+'[1]Financing Proforma info'!$B$6)</f>
        <v>327023.5431191872</v>
      </c>
      <c r="O57" s="76">
        <f>N57*(1+'[1]Financing Proforma info'!$B$6)</f>
        <v>336834.2494127628</v>
      </c>
      <c r="P57" s="76">
        <f>O57*(1+'[1]Financing Proforma info'!$B$6)</f>
        <v>346939.2768951457</v>
      </c>
      <c r="Q57" s="76">
        <f>P57*(1+'[1]Financing Proforma info'!$B$6)</f>
        <v>357347.4552020001</v>
      </c>
      <c r="R57" s="76">
        <f>Q57*(1+'[1]Financing Proforma info'!$B$6)</f>
        <v>368067.8788580601</v>
      </c>
      <c r="S57" s="76">
        <f>R57*(1+'[1]Financing Proforma info'!$B$6)</f>
        <v>379109.9152238019</v>
      </c>
      <c r="T57" s="76">
        <f>S57*(1+'[1]Financing Proforma info'!$B$6)</f>
        <v>390483.212680516</v>
      </c>
      <c r="U57" s="76">
        <f>T57*(1+'[1]Financing Proforma info'!$B$6)</f>
        <v>402197.7090609315</v>
      </c>
      <c r="V57" s="76">
        <f>U57*(1+'[1]Financing Proforma info'!$B$6)</f>
        <v>414263.6403327595</v>
      </c>
      <c r="W57" s="76">
        <f>V57*(1+'[1]Financing Proforma info'!$B$6)</f>
        <v>426691.54954274226</v>
      </c>
      <c r="X57" s="76">
        <f>W57*(1+'[1]Financing Proforma info'!$B$6)</f>
        <v>439492.2960290245</v>
      </c>
      <c r="Y57" s="76">
        <f>X57*(1+'[1]Financing Proforma info'!$B$6)</f>
        <v>452677.0649098953</v>
      </c>
      <c r="Z57" s="76">
        <f>Y57*(1+'[1]Financing Proforma info'!$B$6)</f>
        <v>466257.3768571922</v>
      </c>
      <c r="AA57" s="76">
        <f>Z57*(1+'[1]Financing Proforma info'!$B$6)</f>
        <v>480245.098162908</v>
      </c>
      <c r="AB57" s="76">
        <f>AA57*(1+'[1]Financing Proforma info'!$B$6)</f>
        <v>494652.45110779523</v>
      </c>
      <c r="AC57" s="76">
        <f>AB57*(1+'[1]Financing Proforma info'!$B$6)</f>
        <v>509492.02464102913</v>
      </c>
      <c r="AD57" s="76">
        <f>AC57*(1+'[1]Financing Proforma info'!$B$6)</f>
        <v>524776.78538026</v>
      </c>
      <c r="AE57" s="76">
        <f>AD57*(1+'[1]Financing Proforma info'!$B$6)</f>
        <v>540520.0889416678</v>
      </c>
      <c r="AF57" s="76">
        <f>AE57*(1+'[1]Financing Proforma info'!$B$6)</f>
        <v>556735.6916099179</v>
      </c>
    </row>
    <row r="58" spans="1:32" ht="12.75">
      <c r="A58" s="78">
        <f>ROUND(NPV($C$26,C58:AD58),-5)</f>
        <v>300000</v>
      </c>
      <c r="B58" s="26" t="s">
        <v>106</v>
      </c>
      <c r="C58" s="75">
        <f>('[1]KC format'!$Q$13-'[1]KC format'!$I$13)/'[1]KC format'!$I$13*C57</f>
        <v>21046.958986052916</v>
      </c>
      <c r="D58" s="75">
        <f>('[1]KC format'!$Q$13-'[1]KC format'!$I$13)/'[1]KC format'!$I$13*D57</f>
        <v>21678.367755634503</v>
      </c>
      <c r="E58" s="75">
        <f>('[1]KC format'!$Q$13-'[1]KC format'!$I$13)/'[1]KC format'!$I$13*E57</f>
        <v>22328.718788303537</v>
      </c>
      <c r="F58" s="75">
        <f>('[1]KC format'!$Q$13-'[1]KC format'!$I$13)/'[1]KC format'!$I$13*F57</f>
        <v>22998.58035195264</v>
      </c>
      <c r="G58" s="75">
        <f>('[1]KC format'!$Q$13-'[1]KC format'!$I$13)/'[1]KC format'!$I$13*G57</f>
        <v>23688.53776251122</v>
      </c>
      <c r="H58" s="75">
        <f>('[1]KC format'!$Q$13-'[1]KC format'!$I$13)/'[1]KC format'!$I$13*H57</f>
        <v>24399.193895386557</v>
      </c>
      <c r="I58" s="75">
        <f>('[1]KC format'!$Q$13-'[1]KC format'!$I$13)/'[1]KC format'!$I$13*I57</f>
        <v>25131.169712248156</v>
      </c>
      <c r="J58" s="75">
        <f>('[1]KC format'!$Q$13-'[1]KC format'!$I$13)/'[1]KC format'!$I$13*J57</f>
        <v>25885.104803615603</v>
      </c>
      <c r="K58" s="75">
        <f>('[1]KC format'!$Q$13-'[1]KC format'!$I$13)/'[1]KC format'!$I$13*K57</f>
        <v>26661.657947724074</v>
      </c>
      <c r="L58" s="75">
        <f>('[1]KC format'!$Q$13-'[1]KC format'!$I$13)/'[1]KC format'!$I$13*L57</f>
        <v>27461.507686155794</v>
      </c>
      <c r="M58" s="75">
        <f>('[1]KC format'!$Q$13-'[1]KC format'!$I$13)/'[1]KC format'!$I$13*M57</f>
        <v>28285.352916740467</v>
      </c>
      <c r="N58" s="75">
        <f>('[1]KC format'!$Q$13-'[1]KC format'!$I$13)/'[1]KC format'!$I$13*N57</f>
        <v>29133.913504242682</v>
      </c>
      <c r="O58" s="75">
        <f>('[1]KC format'!$Q$13-'[1]KC format'!$I$13)/'[1]KC format'!$I$13*O57</f>
        <v>30007.930909369967</v>
      </c>
      <c r="P58" s="75">
        <f>('[1]KC format'!$Q$13-'[1]KC format'!$I$13)/'[1]KC format'!$I$13*P57</f>
        <v>30908.168836651068</v>
      </c>
      <c r="Q58" s="75">
        <f>('[1]KC format'!$Q$13-'[1]KC format'!$I$13)/'[1]KC format'!$I$13*Q57</f>
        <v>31835.4139017506</v>
      </c>
      <c r="R58" s="75">
        <f>('[1]KC format'!$Q$13-'[1]KC format'!$I$13)/'[1]KC format'!$I$13*R57</f>
        <v>32790.47631880312</v>
      </c>
      <c r="S58" s="75">
        <f>('[1]KC format'!$Q$13-'[1]KC format'!$I$13)/'[1]KC format'!$I$13*S57</f>
        <v>33774.190608367215</v>
      </c>
      <c r="T58" s="75">
        <f>('[1]KC format'!$Q$13-'[1]KC format'!$I$13)/'[1]KC format'!$I$13*T57</f>
        <v>34787.41632661823</v>
      </c>
      <c r="U58" s="75">
        <f>('[1]KC format'!$Q$13-'[1]KC format'!$I$13)/'[1]KC format'!$I$13*U57</f>
        <v>35831.03881641678</v>
      </c>
      <c r="V58" s="75">
        <f>('[1]KC format'!$Q$13-'[1]KC format'!$I$13)/'[1]KC format'!$I$13*V57</f>
        <v>36905.969980909285</v>
      </c>
      <c r="W58" s="75">
        <f>('[1]KC format'!$Q$13-'[1]KC format'!$I$13)/'[1]KC format'!$I$13*W57</f>
        <v>38013.14908033657</v>
      </c>
      <c r="X58" s="75">
        <f>('[1]KC format'!$Q$13-'[1]KC format'!$I$13)/'[1]KC format'!$I$13*X57</f>
        <v>39153.54355274666</v>
      </c>
      <c r="Y58" s="75">
        <f>('[1]KC format'!$Q$13-'[1]KC format'!$I$13)/'[1]KC format'!$I$13*Y57</f>
        <v>40328.14985932907</v>
      </c>
      <c r="Z58" s="75">
        <f>('[1]KC format'!$Q$13-'[1]KC format'!$I$13)/'[1]KC format'!$I$13*Z57</f>
        <v>41537.99435510894</v>
      </c>
      <c r="AA58" s="75">
        <f>('[1]KC format'!$Q$13-'[1]KC format'!$I$13)/'[1]KC format'!$I$13*AA57</f>
        <v>42784.13418576221</v>
      </c>
      <c r="AB58" s="75">
        <f>('[1]KC format'!$Q$13-'[1]KC format'!$I$13)/'[1]KC format'!$I$13*AB57</f>
        <v>44067.658211335074</v>
      </c>
      <c r="AC58" s="75">
        <f>('[1]KC format'!$Q$13-'[1]KC format'!$I$13)/'[1]KC format'!$I$13*AC57</f>
        <v>45389.68795767513</v>
      </c>
      <c r="AD58" s="75">
        <f>('[1]KC format'!$Q$13-'[1]KC format'!$I$13)/'[1]KC format'!$I$13*AD57</f>
        <v>46751.37859640538</v>
      </c>
      <c r="AE58" s="75">
        <f>('[1]KC format'!$Q$13-'[1]KC format'!$I$13)/'[1]KC format'!$I$13*AE57</f>
        <v>48153.91995429755</v>
      </c>
      <c r="AF58" s="75">
        <f>('[1]KC format'!$Q$13-'[1]KC format'!$I$13)/'[1]KC format'!$I$13*AF57</f>
        <v>49598.53755292648</v>
      </c>
    </row>
    <row r="59" spans="1:32" ht="12.75">
      <c r="A59" s="77">
        <f>ROUND(NPV($C$26,C59:AD59),-5)</f>
        <v>900000</v>
      </c>
      <c r="B59" s="26" t="s">
        <v>83</v>
      </c>
      <c r="C59" s="75">
        <f aca="true" t="shared" si="3" ref="C59:AF59">IF(C$51&lt;=ROUNDUP($C$17,0),$C$21,0)</f>
        <v>87288.78849963626</v>
      </c>
      <c r="D59" s="75">
        <f t="shared" si="3"/>
        <v>87288.78849963626</v>
      </c>
      <c r="E59" s="75">
        <f t="shared" si="3"/>
        <v>87288.78849963626</v>
      </c>
      <c r="F59" s="75">
        <f t="shared" si="3"/>
        <v>87288.78849963626</v>
      </c>
      <c r="G59" s="75">
        <f t="shared" si="3"/>
        <v>87288.78849963626</v>
      </c>
      <c r="H59" s="75">
        <f t="shared" si="3"/>
        <v>87288.78849963626</v>
      </c>
      <c r="I59" s="76">
        <f t="shared" si="3"/>
        <v>87288.78849963626</v>
      </c>
      <c r="J59" s="76">
        <f t="shared" si="3"/>
        <v>87288.78849963626</v>
      </c>
      <c r="K59" s="76">
        <f t="shared" si="3"/>
        <v>87288.78849963626</v>
      </c>
      <c r="L59" s="76">
        <f t="shared" si="3"/>
        <v>87288.78849963626</v>
      </c>
      <c r="M59" s="76">
        <f t="shared" si="3"/>
        <v>87288.78849963626</v>
      </c>
      <c r="N59" s="76">
        <f t="shared" si="3"/>
        <v>87288.78849963626</v>
      </c>
      <c r="O59" s="76">
        <f t="shared" si="3"/>
        <v>87288.78849963626</v>
      </c>
      <c r="P59" s="76">
        <f t="shared" si="3"/>
        <v>87288.78849963626</v>
      </c>
      <c r="Q59" s="76">
        <f t="shared" si="3"/>
        <v>87288.78849963626</v>
      </c>
      <c r="R59" s="76">
        <f t="shared" si="3"/>
        <v>87288.78849963626</v>
      </c>
      <c r="S59" s="76">
        <f t="shared" si="3"/>
        <v>87288.78849963626</v>
      </c>
      <c r="T59" s="76">
        <f t="shared" si="3"/>
        <v>87288.78849963626</v>
      </c>
      <c r="U59" s="76">
        <f t="shared" si="3"/>
        <v>87288.78849963626</v>
      </c>
      <c r="V59" s="76">
        <f t="shared" si="3"/>
        <v>87288.78849963626</v>
      </c>
      <c r="W59" s="76">
        <f t="shared" si="3"/>
        <v>87288.78849963626</v>
      </c>
      <c r="X59" s="76">
        <f t="shared" si="3"/>
        <v>87288.78849963626</v>
      </c>
      <c r="Y59" s="76">
        <f t="shared" si="3"/>
        <v>87288.78849963626</v>
      </c>
      <c r="Z59" s="76">
        <f t="shared" si="3"/>
        <v>87288.78849963626</v>
      </c>
      <c r="AA59" s="76">
        <f t="shared" si="3"/>
        <v>87288.78849963626</v>
      </c>
      <c r="AB59" s="76">
        <f t="shared" si="3"/>
        <v>0</v>
      </c>
      <c r="AC59" s="76">
        <f t="shared" si="3"/>
        <v>0</v>
      </c>
      <c r="AD59" s="76">
        <f t="shared" si="3"/>
        <v>0</v>
      </c>
      <c r="AE59" s="76">
        <f t="shared" si="3"/>
        <v>0</v>
      </c>
      <c r="AF59" s="76">
        <f t="shared" si="3"/>
        <v>0</v>
      </c>
    </row>
    <row r="60" spans="1:8" ht="12.75">
      <c r="A60" s="25"/>
      <c r="B60" s="26"/>
      <c r="C60" s="26"/>
      <c r="D60" s="26"/>
      <c r="E60" s="26"/>
      <c r="F60" s="26"/>
      <c r="G60" s="26"/>
      <c r="H60" s="26"/>
    </row>
    <row r="61" spans="1:63" s="12" customFormat="1" ht="12.75">
      <c r="A61" s="77">
        <f>ROUND(NPV($C$26,C61:AD61),-5)</f>
        <v>82300000</v>
      </c>
      <c r="B61" s="73" t="s">
        <v>107</v>
      </c>
      <c r="C61" s="80">
        <f>SUM(C55:C60)</f>
        <v>7362206.60297949</v>
      </c>
      <c r="D61" s="80">
        <f aca="true" t="shared" si="4" ref="D61:AF61">SUM(D55:D60)</f>
        <v>7369925.474714012</v>
      </c>
      <c r="E61" s="80">
        <f t="shared" si="4"/>
        <v>7377875.912600569</v>
      </c>
      <c r="F61" s="80">
        <f t="shared" si="4"/>
        <v>7386064.863623723</v>
      </c>
      <c r="G61" s="80">
        <f t="shared" si="4"/>
        <v>7394499.4831775725</v>
      </c>
      <c r="H61" s="80">
        <f t="shared" si="4"/>
        <v>7403187.141318037</v>
      </c>
      <c r="I61" s="81">
        <f t="shared" si="4"/>
        <v>7412135.429202716</v>
      </c>
      <c r="J61" s="81">
        <f t="shared" si="4"/>
        <v>7421352.165723934</v>
      </c>
      <c r="K61" s="81">
        <f t="shared" si="4"/>
        <v>7430845.40434079</v>
      </c>
      <c r="L61" s="81">
        <f t="shared" si="4"/>
        <v>7440623.44011615</v>
      </c>
      <c r="M61" s="81">
        <f t="shared" si="4"/>
        <v>7450694.8169647725</v>
      </c>
      <c r="N61" s="81">
        <f t="shared" si="4"/>
        <v>7461068.3351188535</v>
      </c>
      <c r="O61" s="81">
        <f t="shared" si="4"/>
        <v>7471753.058817556</v>
      </c>
      <c r="P61" s="81">
        <f t="shared" si="4"/>
        <v>7482758.32422722</v>
      </c>
      <c r="Q61" s="81">
        <f t="shared" si="4"/>
        <v>7494093.747599174</v>
      </c>
      <c r="R61" s="81">
        <f t="shared" si="4"/>
        <v>7505769.233672285</v>
      </c>
      <c r="S61" s="81">
        <f t="shared" si="4"/>
        <v>7517794.984327592</v>
      </c>
      <c r="T61" s="81">
        <f t="shared" si="4"/>
        <v>7530181.507502557</v>
      </c>
      <c r="U61" s="81">
        <f t="shared" si="4"/>
        <v>7542939.626372771</v>
      </c>
      <c r="V61" s="81">
        <f t="shared" si="4"/>
        <v>7556080.488809092</v>
      </c>
      <c r="W61" s="81">
        <f t="shared" si="4"/>
        <v>7569615.577118502</v>
      </c>
      <c r="X61" s="81">
        <f t="shared" si="4"/>
        <v>7583556.718077195</v>
      </c>
      <c r="Y61" s="81">
        <f t="shared" si="4"/>
        <v>7597916.093264647</v>
      </c>
      <c r="Z61" s="81">
        <f t="shared" si="4"/>
        <v>7612706.249707724</v>
      </c>
      <c r="AA61" s="81">
        <f t="shared" si="4"/>
        <v>7627940.110844093</v>
      </c>
      <c r="AB61" s="81">
        <f t="shared" si="4"/>
        <v>7556342.1993149165</v>
      </c>
      <c r="AC61" s="81">
        <f t="shared" si="4"/>
        <v>7572503.802594491</v>
      </c>
      <c r="AD61" s="81">
        <f t="shared" si="4"/>
        <v>7589150.253972452</v>
      </c>
      <c r="AE61" s="81">
        <f t="shared" si="4"/>
        <v>588674.0088959654</v>
      </c>
      <c r="AF61" s="81">
        <f t="shared" si="4"/>
        <v>606334.2291628444</v>
      </c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</row>
    <row r="62" spans="1:8" ht="12.75">
      <c r="A62" s="25"/>
      <c r="B62" s="26"/>
      <c r="C62" s="26"/>
      <c r="D62" s="26"/>
      <c r="E62" s="26"/>
      <c r="F62" s="26"/>
      <c r="G62" s="26"/>
      <c r="H62" s="26"/>
    </row>
    <row r="63" spans="1:8" ht="12.75">
      <c r="A63" s="25"/>
      <c r="B63" s="26" t="s">
        <v>108</v>
      </c>
      <c r="C63" s="26"/>
      <c r="D63" s="26"/>
      <c r="E63" s="26"/>
      <c r="F63" s="26"/>
      <c r="G63" s="26"/>
      <c r="H63" s="26"/>
    </row>
    <row r="64" spans="1:32" ht="12.75">
      <c r="A64" s="77">
        <f aca="true" t="shared" si="5" ref="A64:A70">ROUND(NPV($C$26,C64:AD64),-5)</f>
        <v>71500000</v>
      </c>
      <c r="B64" s="26" t="s">
        <v>109</v>
      </c>
      <c r="C64" s="75">
        <f>'[1]Lease Space vacated and rents'!I32</f>
        <v>4949951.955475</v>
      </c>
      <c r="D64" s="75">
        <f>'[1]Lease Space vacated and rents'!J32</f>
        <v>5058927.874139251</v>
      </c>
      <c r="E64" s="75">
        <f>'[1]Lease Space vacated and rents'!K32</f>
        <v>5197671.207963426</v>
      </c>
      <c r="F64" s="75">
        <f>'[1]Lease Space vacated and rents'!L32</f>
        <v>5340316.35175433</v>
      </c>
      <c r="G64" s="75">
        <f>'[1]Lease Space vacated and rents'!M32</f>
        <v>5486975.150010001</v>
      </c>
      <c r="H64" s="75">
        <f>'[1]Lease Space vacated and rents'!N32</f>
        <v>5637762.698367401</v>
      </c>
      <c r="I64" s="76">
        <f>'[1]Lease Space vacated and rents'!O32</f>
        <v>5792797.439052667</v>
      </c>
      <c r="J64" s="76">
        <f>'[1]Lease Space vacated and rents'!P32</f>
        <v>5966581.362224246</v>
      </c>
      <c r="K64" s="76">
        <f>'[1]Lease Space vacated and rents'!Q32</f>
        <v>6145578.803090975</v>
      </c>
      <c r="L64" s="76">
        <f>'[1]Lease Space vacated and rents'!R32</f>
        <v>6329946.167183705</v>
      </c>
      <c r="M64" s="76">
        <f>'[1]Lease Space vacated and rents'!S32</f>
        <v>6519844.552199216</v>
      </c>
      <c r="N64" s="76">
        <f>'[1]Lease Space vacated and rents'!T32</f>
        <v>6715439.888765192</v>
      </c>
      <c r="O64" s="76">
        <f>'[1]Lease Space vacated and rents'!U32</f>
        <v>6916903.085428148</v>
      </c>
      <c r="P64" s="76">
        <f>'[1]Lease Space vacated and rents'!V32</f>
        <v>7124410.177990992</v>
      </c>
      <c r="Q64" s="76">
        <f>'[1]Lease Space vacated and rents'!W32</f>
        <v>7338142.483330719</v>
      </c>
      <c r="R64" s="76">
        <f>'[1]Lease Space vacated and rents'!X32</f>
        <v>7558286.757830644</v>
      </c>
      <c r="S64" s="76">
        <f>'[1]Lease Space vacated and rents'!Y32</f>
        <v>7785035.360565564</v>
      </c>
      <c r="T64" s="76">
        <f>'[1]Lease Space vacated and rents'!Z32</f>
        <v>8018586.421382531</v>
      </c>
      <c r="U64" s="76">
        <f>'[1]Lease Space vacated and rents'!AA32</f>
        <v>8259144.014024006</v>
      </c>
      <c r="V64" s="76">
        <f>'[1]Lease Space vacated and rents'!AB32</f>
        <v>8506918.334444726</v>
      </c>
      <c r="W64" s="76">
        <f>'[1]Lease Space vacated and rents'!AC32</f>
        <v>8762125.884478068</v>
      </c>
      <c r="X64" s="76">
        <f>'[1]Lease Space vacated and rents'!AD32</f>
        <v>9024989.661012411</v>
      </c>
      <c r="Y64" s="76">
        <f>'[1]Lease Space vacated and rents'!AE32</f>
        <v>9295739.350842785</v>
      </c>
      <c r="Z64" s="76">
        <f>'[1]Lease Space vacated and rents'!AF32</f>
        <v>9574611.53136807</v>
      </c>
      <c r="AA64" s="76">
        <f>'[1]Lease Space vacated and rents'!AG32</f>
        <v>9861849.877309112</v>
      </c>
      <c r="AB64" s="76">
        <f>'[1]Lease Space vacated and rents'!AH32</f>
        <v>10157705.373628382</v>
      </c>
      <c r="AC64" s="76">
        <f>'[1]Lease Space vacated and rents'!AI32</f>
        <v>10462436.534837235</v>
      </c>
      <c r="AD64" s="76">
        <f>'[1]Lease Space vacated and rents'!AJ32</f>
        <v>10776309.630882353</v>
      </c>
      <c r="AE64" s="76">
        <f>'[1]Lease Space vacated and rents'!AK32</f>
        <v>11099598.919808824</v>
      </c>
      <c r="AF64" s="76">
        <f>'[1]Lease Space vacated and rents'!AL32</f>
        <v>11432586.88740309</v>
      </c>
    </row>
    <row r="65" spans="1:32" ht="12.75">
      <c r="A65" s="78">
        <f t="shared" si="5"/>
        <v>4600000</v>
      </c>
      <c r="B65" s="83" t="s">
        <v>110</v>
      </c>
      <c r="C65" s="75">
        <f>($C$10*$C$12+$C$11)*'[1]Lease Space vacated and rents'!I43</f>
        <v>315696.93582696107</v>
      </c>
      <c r="D65" s="75">
        <f>($C$10*$C$12+$C$11)*'[1]Lease Space vacated and rents'!J43</f>
        <v>322647.1777506589</v>
      </c>
      <c r="E65" s="75">
        <f>($C$10*$C$12+$C$11)*'[1]Lease Space vacated and rents'!K43</f>
        <v>331495.9192634452</v>
      </c>
      <c r="F65" s="75">
        <f>($C$10*$C$12+$C$11)*'[1]Lease Space vacated and rents'!L43</f>
        <v>340593.50954522064</v>
      </c>
      <c r="G65" s="75">
        <f>($C$10*$C$12+$C$11)*'[1]Lease Space vacated and rents'!M43</f>
        <v>349947.0817895267</v>
      </c>
      <c r="H65" s="75">
        <f>($C$10*$C$12+$C$11)*'[1]Lease Space vacated and rents'!N43</f>
        <v>359563.97654032084</v>
      </c>
      <c r="I65" s="75">
        <f>($C$10*$C$12+$C$11)*'[1]Lease Space vacated and rents'!O43</f>
        <v>369451.7477795812</v>
      </c>
      <c r="J65" s="75">
        <f>($C$10*$C$12+$C$11)*'[1]Lease Space vacated and rents'!P43</f>
        <v>380535.3002129686</v>
      </c>
      <c r="K65" s="75">
        <f>($C$10*$C$12+$C$11)*'[1]Lease Space vacated and rents'!Q43</f>
        <v>391951.3592193577</v>
      </c>
      <c r="L65" s="75">
        <f>($C$10*$C$12+$C$11)*'[1]Lease Space vacated and rents'!R43</f>
        <v>403709.89999593847</v>
      </c>
      <c r="M65" s="75">
        <f>($C$10*$C$12+$C$11)*'[1]Lease Space vacated and rents'!S43</f>
        <v>415821.19699581666</v>
      </c>
      <c r="N65" s="75">
        <f>($C$10*$C$12+$C$11)*'[1]Lease Space vacated and rents'!T43</f>
        <v>428295.8329056911</v>
      </c>
      <c r="O65" s="75">
        <f>($C$10*$C$12+$C$11)*'[1]Lease Space vacated and rents'!U43</f>
        <v>441144.70789286186</v>
      </c>
      <c r="P65" s="75">
        <f>($C$10*$C$12+$C$11)*'[1]Lease Space vacated and rents'!V43</f>
        <v>454379.04912964767</v>
      </c>
      <c r="Q65" s="75">
        <f>($C$10*$C$12+$C$11)*'[1]Lease Space vacated and rents'!W43</f>
        <v>468010.42060353694</v>
      </c>
      <c r="R65" s="75">
        <f>($C$10*$C$12+$C$11)*'[1]Lease Space vacated and rents'!X43</f>
        <v>482050.73322164326</v>
      </c>
      <c r="S65" s="75">
        <f>($C$10*$C$12+$C$11)*'[1]Lease Space vacated and rents'!Y43</f>
        <v>496512.2552182926</v>
      </c>
      <c r="T65" s="75">
        <f>($C$10*$C$12+$C$11)*'[1]Lease Space vacated and rents'!Z43</f>
        <v>511407.6228748414</v>
      </c>
      <c r="U65" s="75">
        <f>($C$10*$C$12+$C$11)*'[1]Lease Space vacated and rents'!AA43</f>
        <v>526749.8515610866</v>
      </c>
      <c r="V65" s="75">
        <f>($C$10*$C$12+$C$11)*'[1]Lease Space vacated and rents'!AB43</f>
        <v>542552.3471079192</v>
      </c>
      <c r="W65" s="75">
        <f>($C$10*$C$12+$C$11)*'[1]Lease Space vacated and rents'!AC43</f>
        <v>558828.9175211567</v>
      </c>
      <c r="X65" s="75">
        <f>($C$10*$C$12+$C$11)*'[1]Lease Space vacated and rents'!AD43</f>
        <v>575593.7850467915</v>
      </c>
      <c r="Y65" s="75">
        <f>($C$10*$C$12+$C$11)*'[1]Lease Space vacated and rents'!AE43</f>
        <v>592861.5985981954</v>
      </c>
      <c r="Z65" s="75">
        <f>($C$10*$C$12+$C$11)*'[1]Lease Space vacated and rents'!AF43</f>
        <v>610647.4465561413</v>
      </c>
      <c r="AA65" s="75">
        <f>($C$10*$C$12+$C$11)*'[1]Lease Space vacated and rents'!AG43</f>
        <v>628966.8699528255</v>
      </c>
      <c r="AB65" s="75">
        <f>($C$10*$C$12+$C$11)*'[1]Lease Space vacated and rents'!AH43</f>
        <v>647835.8760514101</v>
      </c>
      <c r="AC65" s="75">
        <f>($C$10*$C$12+$C$11)*'[1]Lease Space vacated and rents'!AI43</f>
        <v>667270.9523329525</v>
      </c>
      <c r="AD65" s="75">
        <f>($C$10*$C$12+$C$11)*'[1]Lease Space vacated and rents'!AJ43</f>
        <v>687289.0809029411</v>
      </c>
      <c r="AE65" s="75">
        <f>($C$10*$C$12+$C$11)*'[1]Lease Space vacated and rents'!AK43</f>
        <v>707907.7533300294</v>
      </c>
      <c r="AF65" s="75">
        <f>($C$10*$C$12+$C$11)*'[1]Lease Space vacated and rents'!AL43</f>
        <v>729144.9859299303</v>
      </c>
    </row>
    <row r="66" spans="1:32" ht="12.75">
      <c r="A66" s="77">
        <f t="shared" si="5"/>
        <v>0</v>
      </c>
      <c r="B66" s="26" t="s">
        <v>111</v>
      </c>
      <c r="C66" s="75">
        <f aca="true" t="shared" si="6" ref="C66:AF66">IF(C$51&lt;=ROUNDUP($C$16,0),$C$23,0)</f>
        <v>0</v>
      </c>
      <c r="D66" s="75">
        <f t="shared" si="6"/>
        <v>0</v>
      </c>
      <c r="E66" s="75">
        <f t="shared" si="6"/>
        <v>0</v>
      </c>
      <c r="F66" s="75">
        <f t="shared" si="6"/>
        <v>0</v>
      </c>
      <c r="G66" s="75">
        <f t="shared" si="6"/>
        <v>0</v>
      </c>
      <c r="H66" s="75">
        <f t="shared" si="6"/>
        <v>0</v>
      </c>
      <c r="I66" s="76">
        <f t="shared" si="6"/>
        <v>0</v>
      </c>
      <c r="J66" s="76">
        <f t="shared" si="6"/>
        <v>0</v>
      </c>
      <c r="K66" s="76">
        <f t="shared" si="6"/>
        <v>0</v>
      </c>
      <c r="L66" s="76">
        <f t="shared" si="6"/>
        <v>0</v>
      </c>
      <c r="M66" s="76">
        <f t="shared" si="6"/>
        <v>0</v>
      </c>
      <c r="N66" s="76">
        <f t="shared" si="6"/>
        <v>0</v>
      </c>
      <c r="O66" s="76">
        <f t="shared" si="6"/>
        <v>0</v>
      </c>
      <c r="P66" s="76">
        <f t="shared" si="6"/>
        <v>0</v>
      </c>
      <c r="Q66" s="76">
        <f t="shared" si="6"/>
        <v>0</v>
      </c>
      <c r="R66" s="76">
        <f t="shared" si="6"/>
        <v>0</v>
      </c>
      <c r="S66" s="76">
        <f t="shared" si="6"/>
        <v>0</v>
      </c>
      <c r="T66" s="76">
        <f t="shared" si="6"/>
        <v>0</v>
      </c>
      <c r="U66" s="76">
        <f t="shared" si="6"/>
        <v>0</v>
      </c>
      <c r="V66" s="76">
        <f t="shared" si="6"/>
        <v>0</v>
      </c>
      <c r="W66" s="76">
        <f t="shared" si="6"/>
        <v>0</v>
      </c>
      <c r="X66" s="76">
        <f t="shared" si="6"/>
        <v>0</v>
      </c>
      <c r="Y66" s="76">
        <f t="shared" si="6"/>
        <v>0</v>
      </c>
      <c r="Z66" s="76">
        <f t="shared" si="6"/>
        <v>0</v>
      </c>
      <c r="AA66" s="76">
        <f t="shared" si="6"/>
        <v>0</v>
      </c>
      <c r="AB66" s="76">
        <f t="shared" si="6"/>
        <v>0</v>
      </c>
      <c r="AC66" s="76">
        <f t="shared" si="6"/>
        <v>0</v>
      </c>
      <c r="AD66" s="76">
        <f t="shared" si="6"/>
        <v>0</v>
      </c>
      <c r="AE66" s="76">
        <f t="shared" si="6"/>
        <v>0</v>
      </c>
      <c r="AF66" s="76">
        <f t="shared" si="6"/>
        <v>0</v>
      </c>
    </row>
    <row r="67" spans="1:32" ht="12.75">
      <c r="A67" s="77">
        <f t="shared" si="5"/>
        <v>19500000</v>
      </c>
      <c r="B67" s="26" t="s">
        <v>112</v>
      </c>
      <c r="C67" s="75">
        <f>C106-C113</f>
        <v>1264643.211798489</v>
      </c>
      <c r="D67" s="75">
        <f>D106-D113</f>
        <v>1370823.9903429959</v>
      </c>
      <c r="E67" s="75">
        <f aca="true" t="shared" si="7" ref="E67:AF67">E106-E113</f>
        <v>1411948.7100532858</v>
      </c>
      <c r="F67" s="75">
        <f t="shared" si="7"/>
        <v>1454307.1713548843</v>
      </c>
      <c r="G67" s="75">
        <f t="shared" si="7"/>
        <v>1497936.386495531</v>
      </c>
      <c r="H67" s="75">
        <f t="shared" si="7"/>
        <v>1542874.4780903968</v>
      </c>
      <c r="I67" s="76">
        <f t="shared" si="7"/>
        <v>1589160.712433109</v>
      </c>
      <c r="J67" s="76">
        <f t="shared" si="7"/>
        <v>1636835.5338061028</v>
      </c>
      <c r="K67" s="76">
        <f t="shared" si="7"/>
        <v>1685940.5998202858</v>
      </c>
      <c r="L67" s="76">
        <f t="shared" si="7"/>
        <v>1736518.8178148945</v>
      </c>
      <c r="M67" s="76">
        <f t="shared" si="7"/>
        <v>1788614.3823493416</v>
      </c>
      <c r="N67" s="76">
        <f t="shared" si="7"/>
        <v>1842272.813819822</v>
      </c>
      <c r="O67" s="76">
        <f t="shared" si="7"/>
        <v>1897540.9982344168</v>
      </c>
      <c r="P67" s="76">
        <f t="shared" si="7"/>
        <v>1954467.2281814497</v>
      </c>
      <c r="Q67" s="76">
        <f t="shared" si="7"/>
        <v>2013101.2450268934</v>
      </c>
      <c r="R67" s="76">
        <f t="shared" si="7"/>
        <v>2073494.2823777003</v>
      </c>
      <c r="S67" s="76">
        <f t="shared" si="7"/>
        <v>2135699.1108490312</v>
      </c>
      <c r="T67" s="76">
        <f t="shared" si="7"/>
        <v>2199770.0841745026</v>
      </c>
      <c r="U67" s="76">
        <f t="shared" si="7"/>
        <v>2265763.1866997387</v>
      </c>
      <c r="V67" s="76">
        <f t="shared" si="7"/>
        <v>2333736.082300731</v>
      </c>
      <c r="W67" s="76">
        <f t="shared" si="7"/>
        <v>2403748.1647697524</v>
      </c>
      <c r="X67" s="76">
        <f t="shared" si="7"/>
        <v>2475860.609712846</v>
      </c>
      <c r="Y67" s="76">
        <f t="shared" si="7"/>
        <v>2550136.4280042313</v>
      </c>
      <c r="Z67" s="76">
        <f t="shared" si="7"/>
        <v>2626640.5208443576</v>
      </c>
      <c r="AA67" s="76">
        <f t="shared" si="7"/>
        <v>2705439.736469689</v>
      </c>
      <c r="AB67" s="76">
        <f t="shared" si="7"/>
        <v>2786602.9285637797</v>
      </c>
      <c r="AC67" s="76">
        <f t="shared" si="7"/>
        <v>2870201.0164206927</v>
      </c>
      <c r="AD67" s="76">
        <f t="shared" si="7"/>
        <v>2956307.0469133137</v>
      </c>
      <c r="AE67" s="76">
        <f t="shared" si="7"/>
        <v>3044996.2583207134</v>
      </c>
      <c r="AF67" s="76">
        <f t="shared" si="7"/>
        <v>3136346.1460703355</v>
      </c>
    </row>
    <row r="68" spans="1:32" ht="12.75">
      <c r="A68" s="77">
        <f t="shared" si="5"/>
        <v>2900000</v>
      </c>
      <c r="B68" s="26" t="s">
        <v>113</v>
      </c>
      <c r="C68" s="75">
        <f>0.75*'[1]Lease Space vacated and rents'!F34</f>
        <v>195750</v>
      </c>
      <c r="D68" s="75">
        <f>C68*(1+$C$25)</f>
        <v>201622.5</v>
      </c>
      <c r="E68" s="75">
        <f aca="true" t="shared" si="8" ref="E68:AF68">D68*(1+$C$25)</f>
        <v>207671.17500000002</v>
      </c>
      <c r="F68" s="75">
        <f t="shared" si="8"/>
        <v>213901.31025</v>
      </c>
      <c r="G68" s="75">
        <f t="shared" si="8"/>
        <v>220318.3495575</v>
      </c>
      <c r="H68" s="75">
        <f t="shared" si="8"/>
        <v>226927.900044225</v>
      </c>
      <c r="I68" s="76">
        <f t="shared" si="8"/>
        <v>233735.73704555177</v>
      </c>
      <c r="J68" s="76">
        <f t="shared" si="8"/>
        <v>240747.80915691832</v>
      </c>
      <c r="K68" s="76">
        <f t="shared" si="8"/>
        <v>247970.24343162586</v>
      </c>
      <c r="L68" s="76">
        <f t="shared" si="8"/>
        <v>255409.35073457463</v>
      </c>
      <c r="M68" s="76">
        <f t="shared" si="8"/>
        <v>263071.6312566119</v>
      </c>
      <c r="N68" s="76">
        <f t="shared" si="8"/>
        <v>270963.78019431024</v>
      </c>
      <c r="O68" s="76">
        <f t="shared" si="8"/>
        <v>279092.6936001396</v>
      </c>
      <c r="P68" s="76">
        <f t="shared" si="8"/>
        <v>287465.4744081438</v>
      </c>
      <c r="Q68" s="76">
        <f t="shared" si="8"/>
        <v>296089.4386403881</v>
      </c>
      <c r="R68" s="76">
        <f t="shared" si="8"/>
        <v>304972.1217995997</v>
      </c>
      <c r="S68" s="76">
        <f t="shared" si="8"/>
        <v>314121.2854535877</v>
      </c>
      <c r="T68" s="76">
        <f t="shared" si="8"/>
        <v>323544.92401719536</v>
      </c>
      <c r="U68" s="76">
        <f t="shared" si="8"/>
        <v>333251.2717377112</v>
      </c>
      <c r="V68" s="76">
        <f t="shared" si="8"/>
        <v>343248.8098898426</v>
      </c>
      <c r="W68" s="76">
        <f t="shared" si="8"/>
        <v>353546.2741865379</v>
      </c>
      <c r="X68" s="76">
        <f t="shared" si="8"/>
        <v>364152.66241213406</v>
      </c>
      <c r="Y68" s="76">
        <f t="shared" si="8"/>
        <v>375077.24228449806</v>
      </c>
      <c r="Z68" s="76">
        <f t="shared" si="8"/>
        <v>386329.55955303303</v>
      </c>
      <c r="AA68" s="76">
        <f t="shared" si="8"/>
        <v>397919.44633962406</v>
      </c>
      <c r="AB68" s="76">
        <f t="shared" si="8"/>
        <v>409857.0297298128</v>
      </c>
      <c r="AC68" s="76">
        <f t="shared" si="8"/>
        <v>422152.7406217072</v>
      </c>
      <c r="AD68" s="76">
        <f t="shared" si="8"/>
        <v>434817.3228403585</v>
      </c>
      <c r="AE68" s="76">
        <f t="shared" si="8"/>
        <v>447861.84252556926</v>
      </c>
      <c r="AF68" s="76">
        <f t="shared" si="8"/>
        <v>461297.69780133636</v>
      </c>
    </row>
    <row r="69" spans="1:32" ht="12.75" hidden="1">
      <c r="A69" s="84">
        <f t="shared" si="5"/>
        <v>0</v>
      </c>
      <c r="B69" s="26" t="s">
        <v>114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</row>
    <row r="70" spans="1:63" s="12" customFormat="1" ht="12.75">
      <c r="A70" s="77">
        <f t="shared" si="5"/>
        <v>98500000</v>
      </c>
      <c r="B70" s="85" t="s">
        <v>115</v>
      </c>
      <c r="C70" s="80">
        <f aca="true" t="shared" si="9" ref="C70:AF70">SUM(C64:C69)</f>
        <v>6726042.10310045</v>
      </c>
      <c r="D70" s="80">
        <f t="shared" si="9"/>
        <v>6954021.542232906</v>
      </c>
      <c r="E70" s="80">
        <f t="shared" si="9"/>
        <v>7148787.012280156</v>
      </c>
      <c r="F70" s="80">
        <f t="shared" si="9"/>
        <v>7349118.3429044355</v>
      </c>
      <c r="G70" s="80">
        <f t="shared" si="9"/>
        <v>7555176.967852559</v>
      </c>
      <c r="H70" s="80">
        <f t="shared" si="9"/>
        <v>7767129.053042344</v>
      </c>
      <c r="I70" s="81">
        <f t="shared" si="9"/>
        <v>7985145.636310908</v>
      </c>
      <c r="J70" s="81">
        <f t="shared" si="9"/>
        <v>8224700.005400236</v>
      </c>
      <c r="K70" s="81">
        <f t="shared" si="9"/>
        <v>8471441.005562244</v>
      </c>
      <c r="L70" s="81">
        <f t="shared" si="9"/>
        <v>8725584.235729113</v>
      </c>
      <c r="M70" s="81">
        <f t="shared" si="9"/>
        <v>8987351.762800986</v>
      </c>
      <c r="N70" s="81">
        <f t="shared" si="9"/>
        <v>9256972.315685015</v>
      </c>
      <c r="O70" s="81">
        <f t="shared" si="9"/>
        <v>9534681.485155568</v>
      </c>
      <c r="P70" s="81">
        <f t="shared" si="9"/>
        <v>9820721.929710234</v>
      </c>
      <c r="Q70" s="81">
        <f t="shared" si="9"/>
        <v>10115343.587601537</v>
      </c>
      <c r="R70" s="81">
        <f t="shared" si="9"/>
        <v>10418803.895229587</v>
      </c>
      <c r="S70" s="81">
        <f t="shared" si="9"/>
        <v>10731368.012086475</v>
      </c>
      <c r="T70" s="81">
        <f t="shared" si="9"/>
        <v>11053309.05244907</v>
      </c>
      <c r="U70" s="81">
        <f t="shared" si="9"/>
        <v>11384908.324022543</v>
      </c>
      <c r="V70" s="81">
        <f t="shared" si="9"/>
        <v>11726455.573743217</v>
      </c>
      <c r="W70" s="81">
        <f t="shared" si="9"/>
        <v>12078249.240955515</v>
      </c>
      <c r="X70" s="81">
        <f t="shared" si="9"/>
        <v>12440596.718184184</v>
      </c>
      <c r="Y70" s="81">
        <f t="shared" si="9"/>
        <v>12813814.619729709</v>
      </c>
      <c r="Z70" s="81">
        <f t="shared" si="9"/>
        <v>13198229.0583216</v>
      </c>
      <c r="AA70" s="81">
        <f t="shared" si="9"/>
        <v>13594175.930071251</v>
      </c>
      <c r="AB70" s="81">
        <f t="shared" si="9"/>
        <v>14002001.207973385</v>
      </c>
      <c r="AC70" s="81">
        <f t="shared" si="9"/>
        <v>14422061.244212586</v>
      </c>
      <c r="AD70" s="81">
        <f t="shared" si="9"/>
        <v>14854723.081538968</v>
      </c>
      <c r="AE70" s="81">
        <f t="shared" si="9"/>
        <v>15300364.773985136</v>
      </c>
      <c r="AF70" s="81">
        <f t="shared" si="9"/>
        <v>15759375.717204692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</row>
    <row r="71" spans="1:8" ht="12.75">
      <c r="A71" s="25"/>
      <c r="B71" s="26"/>
      <c r="C71" s="26"/>
      <c r="D71" s="26"/>
      <c r="E71" s="26"/>
      <c r="F71" s="26"/>
      <c r="G71" s="26"/>
      <c r="H71" s="26"/>
    </row>
    <row r="72" spans="1:63" s="7" customFormat="1" ht="13.5">
      <c r="A72" s="86">
        <f>ROUND(NPV($C$26,C72:AD72),-5)</f>
        <v>16200000</v>
      </c>
      <c r="B72" s="87" t="s">
        <v>116</v>
      </c>
      <c r="C72" s="88">
        <f>C70-C61</f>
        <v>-636164.4998790398</v>
      </c>
      <c r="D72" s="88">
        <f aca="true" t="shared" si="10" ref="D72:AF72">D70-D61</f>
        <v>-415903.93248110544</v>
      </c>
      <c r="E72" s="89">
        <f t="shared" si="10"/>
        <v>-229088.90032041352</v>
      </c>
      <c r="F72" s="90">
        <f t="shared" si="10"/>
        <v>-36946.52071928792</v>
      </c>
      <c r="G72" s="90">
        <f t="shared" si="10"/>
        <v>160677.48467498645</v>
      </c>
      <c r="H72" s="90">
        <f t="shared" si="10"/>
        <v>363941.91172430664</v>
      </c>
      <c r="I72" s="91">
        <f t="shared" si="10"/>
        <v>573010.2071081921</v>
      </c>
      <c r="J72" s="91">
        <f t="shared" si="10"/>
        <v>803347.8396763019</v>
      </c>
      <c r="K72" s="91">
        <f t="shared" si="10"/>
        <v>1040595.6012214543</v>
      </c>
      <c r="L72" s="92">
        <f t="shared" si="10"/>
        <v>1284960.795612963</v>
      </c>
      <c r="M72" s="92">
        <f t="shared" si="10"/>
        <v>1536656.9458362134</v>
      </c>
      <c r="N72" s="92">
        <f t="shared" si="10"/>
        <v>1795903.9805661617</v>
      </c>
      <c r="O72" s="92">
        <f t="shared" si="10"/>
        <v>2062928.4263380114</v>
      </c>
      <c r="P72" s="92">
        <f t="shared" si="10"/>
        <v>2337963.605483013</v>
      </c>
      <c r="Q72" s="92">
        <f t="shared" si="10"/>
        <v>2621249.8400023626</v>
      </c>
      <c r="R72" s="92">
        <f t="shared" si="10"/>
        <v>2913034.661557302</v>
      </c>
      <c r="S72" s="92">
        <f t="shared" si="10"/>
        <v>3213573.0277588833</v>
      </c>
      <c r="T72" s="92">
        <f t="shared" si="10"/>
        <v>3523127.544946513</v>
      </c>
      <c r="U72" s="92">
        <f t="shared" si="10"/>
        <v>3841968.6976497713</v>
      </c>
      <c r="V72" s="92">
        <f t="shared" si="10"/>
        <v>4170375.0849341247</v>
      </c>
      <c r="W72" s="92">
        <f t="shared" si="10"/>
        <v>4508633.663837013</v>
      </c>
      <c r="X72" s="92">
        <f t="shared" si="10"/>
        <v>4857040.000106989</v>
      </c>
      <c r="Y72" s="92">
        <f t="shared" si="10"/>
        <v>5215898.526465062</v>
      </c>
      <c r="Z72" s="92">
        <f t="shared" si="10"/>
        <v>5585522.808613877</v>
      </c>
      <c r="AA72" s="92">
        <f t="shared" si="10"/>
        <v>5966235.819227158</v>
      </c>
      <c r="AB72" s="92">
        <f t="shared" si="10"/>
        <v>6445659.008658469</v>
      </c>
      <c r="AC72" s="92">
        <f t="shared" si="10"/>
        <v>6849557.441618095</v>
      </c>
      <c r="AD72" s="92">
        <f t="shared" si="10"/>
        <v>7265572.827566516</v>
      </c>
      <c r="AE72" s="92">
        <f t="shared" si="10"/>
        <v>14711690.765089171</v>
      </c>
      <c r="AF72" s="92">
        <f t="shared" si="10"/>
        <v>15153041.488041848</v>
      </c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</row>
    <row r="73" spans="1:8" ht="12.75">
      <c r="A73" s="94" t="s">
        <v>117</v>
      </c>
      <c r="B73" s="26"/>
      <c r="C73" s="26"/>
      <c r="D73" s="26"/>
      <c r="E73" s="26"/>
      <c r="F73" s="26"/>
      <c r="G73" s="26"/>
      <c r="H73" s="26"/>
    </row>
    <row r="74" spans="1:32" ht="12.75">
      <c r="A74" s="25"/>
      <c r="B74" s="26" t="s">
        <v>118</v>
      </c>
      <c r="C74" s="95">
        <f>C72</f>
        <v>-636164.4998790398</v>
      </c>
      <c r="D74" s="95">
        <f aca="true" t="shared" si="11" ref="D74:AF74">C74+D72</f>
        <v>-1052068.4323601453</v>
      </c>
      <c r="E74" s="95">
        <f t="shared" si="11"/>
        <v>-1281157.3326805588</v>
      </c>
      <c r="F74" s="95">
        <f t="shared" si="11"/>
        <v>-1318103.8533998467</v>
      </c>
      <c r="G74" s="95">
        <f t="shared" si="11"/>
        <v>-1157426.3687248603</v>
      </c>
      <c r="H74" s="95">
        <f t="shared" si="11"/>
        <v>-793484.4570005536</v>
      </c>
      <c r="I74" s="96">
        <f t="shared" si="11"/>
        <v>-220474.24989236146</v>
      </c>
      <c r="J74" s="96">
        <f t="shared" si="11"/>
        <v>582873.5897839405</v>
      </c>
      <c r="K74" s="96">
        <f t="shared" si="11"/>
        <v>1623469.1910053948</v>
      </c>
      <c r="L74" s="96">
        <f t="shared" si="11"/>
        <v>2908429.9866183577</v>
      </c>
      <c r="M74" s="96">
        <f t="shared" si="11"/>
        <v>4445086.932454571</v>
      </c>
      <c r="N74" s="96">
        <f t="shared" si="11"/>
        <v>6240990.913020733</v>
      </c>
      <c r="O74" s="96">
        <f t="shared" si="11"/>
        <v>8303919.339358744</v>
      </c>
      <c r="P74" s="96">
        <f t="shared" si="11"/>
        <v>10641882.944841757</v>
      </c>
      <c r="Q74" s="96">
        <f t="shared" si="11"/>
        <v>13263132.78484412</v>
      </c>
      <c r="R74" s="96">
        <f t="shared" si="11"/>
        <v>16176167.446401421</v>
      </c>
      <c r="S74" s="96">
        <f t="shared" si="11"/>
        <v>19389740.474160306</v>
      </c>
      <c r="T74" s="96">
        <f t="shared" si="11"/>
        <v>22912868.01910682</v>
      </c>
      <c r="U74" s="96">
        <f t="shared" si="11"/>
        <v>26754836.71675659</v>
      </c>
      <c r="V74" s="96">
        <f t="shared" si="11"/>
        <v>30925211.801690713</v>
      </c>
      <c r="W74" s="96">
        <f t="shared" si="11"/>
        <v>35433845.46552773</v>
      </c>
      <c r="X74" s="96">
        <f t="shared" si="11"/>
        <v>40290885.46563472</v>
      </c>
      <c r="Y74" s="96">
        <f t="shared" si="11"/>
        <v>45506783.99209978</v>
      </c>
      <c r="Z74" s="96">
        <f t="shared" si="11"/>
        <v>51092306.80071365</v>
      </c>
      <c r="AA74" s="96">
        <f t="shared" si="11"/>
        <v>57058542.61994081</v>
      </c>
      <c r="AB74" s="96">
        <f t="shared" si="11"/>
        <v>63504201.62859928</v>
      </c>
      <c r="AC74" s="96">
        <f t="shared" si="11"/>
        <v>70353759.07021737</v>
      </c>
      <c r="AD74" s="96">
        <f t="shared" si="11"/>
        <v>77619331.89778389</v>
      </c>
      <c r="AE74" s="96">
        <f t="shared" si="11"/>
        <v>92331022.66287306</v>
      </c>
      <c r="AF74" s="96">
        <f t="shared" si="11"/>
        <v>107484064.15091491</v>
      </c>
    </row>
    <row r="75" spans="1:32" ht="12.75">
      <c r="A75" s="25"/>
      <c r="B75" s="26"/>
      <c r="C75" s="95"/>
      <c r="D75" s="95"/>
      <c r="E75" s="95"/>
      <c r="F75" s="95"/>
      <c r="G75" s="95"/>
      <c r="H75" s="95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63" s="100" customFormat="1" ht="12.75">
      <c r="A76" s="25"/>
      <c r="B76" s="26" t="s">
        <v>119</v>
      </c>
      <c r="C76" s="95">
        <f>SUM(C64:C65)*0.5</f>
        <v>2632824.4456509803</v>
      </c>
      <c r="D76" s="97"/>
      <c r="E76" s="97"/>
      <c r="F76" s="97"/>
      <c r="G76" s="95"/>
      <c r="H76" s="95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</row>
    <row r="77" spans="1:32" ht="12.75">
      <c r="A77" s="25"/>
      <c r="B77" s="26"/>
      <c r="C77" s="95"/>
      <c r="D77" s="97"/>
      <c r="E77" s="97"/>
      <c r="F77" s="97"/>
      <c r="G77" s="95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2.75">
      <c r="A78" s="25"/>
      <c r="B78" s="26" t="s">
        <v>120</v>
      </c>
      <c r="C78" s="95">
        <f>$C$76+C74</f>
        <v>1996659.9457719405</v>
      </c>
      <c r="D78" s="97">
        <f aca="true" t="shared" si="12" ref="D78:AF78">$C$76+D74</f>
        <v>1580756.013290835</v>
      </c>
      <c r="E78" s="97">
        <f t="shared" si="12"/>
        <v>1351667.1129704216</v>
      </c>
      <c r="F78" s="97">
        <f t="shared" si="12"/>
        <v>1314720.5922511336</v>
      </c>
      <c r="G78" s="95">
        <f t="shared" si="12"/>
        <v>1475398.07692612</v>
      </c>
      <c r="H78" s="95">
        <f t="shared" si="12"/>
        <v>1839339.9886504267</v>
      </c>
      <c r="I78" s="96">
        <f t="shared" si="12"/>
        <v>2412350.195758619</v>
      </c>
      <c r="J78" s="96">
        <f t="shared" si="12"/>
        <v>3215698.035434921</v>
      </c>
      <c r="K78" s="96">
        <f t="shared" si="12"/>
        <v>4256293.636656376</v>
      </c>
      <c r="L78" s="96">
        <f t="shared" si="12"/>
        <v>5541254.4322693385</v>
      </c>
      <c r="M78" s="96">
        <f t="shared" si="12"/>
        <v>7077911.378105551</v>
      </c>
      <c r="N78" s="96">
        <f t="shared" si="12"/>
        <v>8873815.358671714</v>
      </c>
      <c r="O78" s="96">
        <f t="shared" si="12"/>
        <v>10936743.785009725</v>
      </c>
      <c r="P78" s="96">
        <f t="shared" si="12"/>
        <v>13274707.390492737</v>
      </c>
      <c r="Q78" s="96">
        <f t="shared" si="12"/>
        <v>15895957.230495099</v>
      </c>
      <c r="R78" s="96">
        <f t="shared" si="12"/>
        <v>18808991.8920524</v>
      </c>
      <c r="S78" s="96">
        <f t="shared" si="12"/>
        <v>22022564.919811286</v>
      </c>
      <c r="T78" s="96">
        <f t="shared" si="12"/>
        <v>25545692.4647578</v>
      </c>
      <c r="U78" s="96">
        <f t="shared" si="12"/>
        <v>29387661.16240757</v>
      </c>
      <c r="V78" s="96">
        <f t="shared" si="12"/>
        <v>33558036.24734169</v>
      </c>
      <c r="W78" s="96">
        <f t="shared" si="12"/>
        <v>38066669.91117871</v>
      </c>
      <c r="X78" s="96">
        <f t="shared" si="12"/>
        <v>42923709.9112857</v>
      </c>
      <c r="Y78" s="96">
        <f t="shared" si="12"/>
        <v>48139608.43775076</v>
      </c>
      <c r="Z78" s="96">
        <f t="shared" si="12"/>
        <v>53725131.24636463</v>
      </c>
      <c r="AA78" s="96">
        <f t="shared" si="12"/>
        <v>59691367.06559179</v>
      </c>
      <c r="AB78" s="96">
        <f t="shared" si="12"/>
        <v>66137026.07425026</v>
      </c>
      <c r="AC78" s="96">
        <f t="shared" si="12"/>
        <v>72986583.51586835</v>
      </c>
      <c r="AD78" s="96">
        <f t="shared" si="12"/>
        <v>80252156.34343487</v>
      </c>
      <c r="AE78" s="96">
        <f t="shared" si="12"/>
        <v>94963847.10852404</v>
      </c>
      <c r="AF78" s="96">
        <f t="shared" si="12"/>
        <v>110116888.59656589</v>
      </c>
    </row>
    <row r="79" spans="1:32" ht="12.75">
      <c r="A79" s="25"/>
      <c r="B79" s="26"/>
      <c r="C79" s="95"/>
      <c r="D79" s="95"/>
      <c r="E79" s="95"/>
      <c r="F79" s="95"/>
      <c r="G79" s="95"/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2.75" hidden="1">
      <c r="A80" s="78">
        <f>ROUND(NPV($C$26,C80:AD80),-5)</f>
        <v>-7300000</v>
      </c>
      <c r="B80" s="73" t="s">
        <v>121</v>
      </c>
      <c r="C80" s="95">
        <f>'[1]Kinzer Info'!O138</f>
        <v>-1212762.7087995321</v>
      </c>
      <c r="D80" s="95">
        <f>'[1]Kinzer Info'!P138</f>
        <v>-1229758.580063518</v>
      </c>
      <c r="E80" s="95">
        <f>'[1]Kinzer Info'!Q138</f>
        <v>-1377989.5974654234</v>
      </c>
      <c r="F80" s="95">
        <f>'[1]Kinzer Info'!R138</f>
        <v>-1377829.6503893854</v>
      </c>
      <c r="G80" s="95">
        <f>'[1]Kinzer Info'!S138</f>
        <v>-1411762.559901068</v>
      </c>
      <c r="H80" s="95">
        <f>'[1]Kinzer Info'!T138</f>
        <v>-1577438.7266981</v>
      </c>
      <c r="I80" s="96">
        <f>'[1]Kinzer Info'!U138</f>
        <v>-1749282.2834990432</v>
      </c>
      <c r="J80" s="96">
        <f>'[1]Kinzer Info'!V138</f>
        <v>0</v>
      </c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1:32" ht="12.75" hidden="1">
      <c r="A81" s="78">
        <f>ROUND(NPV($C$26,C81:AD81),-5)</f>
        <v>-83600000</v>
      </c>
      <c r="B81" s="26" t="s">
        <v>122</v>
      </c>
      <c r="C81" s="95">
        <f>C80</f>
        <v>-1212762.7087995321</v>
      </c>
      <c r="D81" s="95">
        <f>D80+C81</f>
        <v>-2442521.28886305</v>
      </c>
      <c r="E81" s="95">
        <f aca="true" t="shared" si="13" ref="E81:AF81">E80+D81</f>
        <v>-3820510.886328473</v>
      </c>
      <c r="F81" s="95">
        <f t="shared" si="13"/>
        <v>-5198340.536717858</v>
      </c>
      <c r="G81" s="95">
        <f t="shared" si="13"/>
        <v>-6610103.096618926</v>
      </c>
      <c r="H81" s="95">
        <f t="shared" si="13"/>
        <v>-8187541.823317027</v>
      </c>
      <c r="I81" s="96">
        <f t="shared" si="13"/>
        <v>-9936824.10681607</v>
      </c>
      <c r="J81" s="96">
        <f t="shared" si="13"/>
        <v>-9936824.10681607</v>
      </c>
      <c r="K81" s="96">
        <f t="shared" si="13"/>
        <v>-9936824.10681607</v>
      </c>
      <c r="L81" s="96">
        <f t="shared" si="13"/>
        <v>-9936824.10681607</v>
      </c>
      <c r="M81" s="96">
        <f t="shared" si="13"/>
        <v>-9936824.10681607</v>
      </c>
      <c r="N81" s="96">
        <f t="shared" si="13"/>
        <v>-9936824.10681607</v>
      </c>
      <c r="O81" s="96">
        <f t="shared" si="13"/>
        <v>-9936824.10681607</v>
      </c>
      <c r="P81" s="96">
        <f t="shared" si="13"/>
        <v>-9936824.10681607</v>
      </c>
      <c r="Q81" s="96">
        <f t="shared" si="13"/>
        <v>-9936824.10681607</v>
      </c>
      <c r="R81" s="96">
        <f t="shared" si="13"/>
        <v>-9936824.10681607</v>
      </c>
      <c r="S81" s="96">
        <f t="shared" si="13"/>
        <v>-9936824.10681607</v>
      </c>
      <c r="T81" s="96">
        <f t="shared" si="13"/>
        <v>-9936824.10681607</v>
      </c>
      <c r="U81" s="96">
        <f t="shared" si="13"/>
        <v>-9936824.10681607</v>
      </c>
      <c r="V81" s="96">
        <f t="shared" si="13"/>
        <v>-9936824.10681607</v>
      </c>
      <c r="W81" s="96">
        <f t="shared" si="13"/>
        <v>-9936824.10681607</v>
      </c>
      <c r="X81" s="96">
        <f t="shared" si="13"/>
        <v>-9936824.10681607</v>
      </c>
      <c r="Y81" s="96">
        <f t="shared" si="13"/>
        <v>-9936824.10681607</v>
      </c>
      <c r="Z81" s="96">
        <f t="shared" si="13"/>
        <v>-9936824.10681607</v>
      </c>
      <c r="AA81" s="96">
        <f t="shared" si="13"/>
        <v>-9936824.10681607</v>
      </c>
      <c r="AB81" s="96">
        <f t="shared" si="13"/>
        <v>-9936824.10681607</v>
      </c>
      <c r="AC81" s="96">
        <f t="shared" si="13"/>
        <v>-9936824.10681607</v>
      </c>
      <c r="AD81" s="96">
        <f t="shared" si="13"/>
        <v>-9936824.10681607</v>
      </c>
      <c r="AE81" s="96">
        <f t="shared" si="13"/>
        <v>-9936824.10681607</v>
      </c>
      <c r="AF81" s="96">
        <f t="shared" si="13"/>
        <v>-9936824.10681607</v>
      </c>
    </row>
    <row r="82" spans="1:32" ht="12.75" hidden="1">
      <c r="A82" s="25"/>
      <c r="B82" s="26"/>
      <c r="C82" s="95"/>
      <c r="D82" s="95"/>
      <c r="E82" s="95"/>
      <c r="F82" s="95"/>
      <c r="G82" s="95"/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1:32" ht="12.75" hidden="1">
      <c r="A83" s="25"/>
      <c r="B83" s="26" t="s">
        <v>123</v>
      </c>
      <c r="C83" s="95">
        <f>C72</f>
        <v>-636164.4998790398</v>
      </c>
      <c r="D83" s="95">
        <f>D72</f>
        <v>-415903.93248110544</v>
      </c>
      <c r="E83" s="95">
        <f aca="true" t="shared" si="14" ref="E83:AF83">E72</f>
        <v>-229088.90032041352</v>
      </c>
      <c r="F83" s="95">
        <f t="shared" si="14"/>
        <v>-36946.52071928792</v>
      </c>
      <c r="G83" s="95">
        <f t="shared" si="14"/>
        <v>160677.48467498645</v>
      </c>
      <c r="H83" s="95">
        <f t="shared" si="14"/>
        <v>363941.91172430664</v>
      </c>
      <c r="I83" s="96">
        <f t="shared" si="14"/>
        <v>573010.2071081921</v>
      </c>
      <c r="J83" s="96">
        <f t="shared" si="14"/>
        <v>803347.8396763019</v>
      </c>
      <c r="K83" s="96">
        <f t="shared" si="14"/>
        <v>1040595.6012214543</v>
      </c>
      <c r="L83" s="96">
        <f t="shared" si="14"/>
        <v>1284960.795612963</v>
      </c>
      <c r="M83" s="96">
        <f t="shared" si="14"/>
        <v>1536656.9458362134</v>
      </c>
      <c r="N83" s="96">
        <f t="shared" si="14"/>
        <v>1795903.9805661617</v>
      </c>
      <c r="O83" s="96">
        <f t="shared" si="14"/>
        <v>2062928.4263380114</v>
      </c>
      <c r="P83" s="96">
        <f t="shared" si="14"/>
        <v>2337963.605483013</v>
      </c>
      <c r="Q83" s="96">
        <f t="shared" si="14"/>
        <v>2621249.8400023626</v>
      </c>
      <c r="R83" s="96">
        <f t="shared" si="14"/>
        <v>2913034.661557302</v>
      </c>
      <c r="S83" s="96">
        <f t="shared" si="14"/>
        <v>3213573.0277588833</v>
      </c>
      <c r="T83" s="96">
        <f t="shared" si="14"/>
        <v>3523127.544946513</v>
      </c>
      <c r="U83" s="96">
        <f t="shared" si="14"/>
        <v>3841968.6976497713</v>
      </c>
      <c r="V83" s="96">
        <f t="shared" si="14"/>
        <v>4170375.0849341247</v>
      </c>
      <c r="W83" s="96">
        <f t="shared" si="14"/>
        <v>4508633.663837013</v>
      </c>
      <c r="X83" s="96">
        <f t="shared" si="14"/>
        <v>4857040.000106989</v>
      </c>
      <c r="Y83" s="96">
        <f t="shared" si="14"/>
        <v>5215898.526465062</v>
      </c>
      <c r="Z83" s="96">
        <f t="shared" si="14"/>
        <v>5585522.808613877</v>
      </c>
      <c r="AA83" s="96">
        <f t="shared" si="14"/>
        <v>5966235.819227158</v>
      </c>
      <c r="AB83" s="96">
        <f t="shared" si="14"/>
        <v>6445659.008658469</v>
      </c>
      <c r="AC83" s="96">
        <f t="shared" si="14"/>
        <v>6849557.441618095</v>
      </c>
      <c r="AD83" s="96">
        <f t="shared" si="14"/>
        <v>7265572.827566516</v>
      </c>
      <c r="AE83" s="96">
        <f t="shared" si="14"/>
        <v>14711690.765089171</v>
      </c>
      <c r="AF83" s="96">
        <f t="shared" si="14"/>
        <v>15153041.488041848</v>
      </c>
    </row>
    <row r="84" spans="1:33" ht="13.5" hidden="1" thickBot="1">
      <c r="A84" s="25"/>
      <c r="B84" s="26" t="s">
        <v>124</v>
      </c>
      <c r="C84" s="95">
        <f>C83/(1+$C$25)^(1+C$51)</f>
        <v>-599646.0551221038</v>
      </c>
      <c r="D84" s="95">
        <f aca="true" t="shared" si="15" ref="D84:AF84">D83/(1+$C$25)^(1+D51)</f>
        <v>-380611.0149022633</v>
      </c>
      <c r="E84" s="95">
        <f t="shared" si="15"/>
        <v>-203542.52075593575</v>
      </c>
      <c r="F84" s="95">
        <f t="shared" si="15"/>
        <v>-31870.393324889283</v>
      </c>
      <c r="G84" s="95">
        <f t="shared" si="15"/>
        <v>134564.86381883032</v>
      </c>
      <c r="H84" s="95">
        <f t="shared" si="15"/>
        <v>295918.0790451059</v>
      </c>
      <c r="I84" s="96">
        <f t="shared" si="15"/>
        <v>452339.54884734773</v>
      </c>
      <c r="J84" s="96">
        <f t="shared" si="15"/>
        <v>615699.2262200232</v>
      </c>
      <c r="K84" s="96">
        <f t="shared" si="15"/>
        <v>774300.8547371834</v>
      </c>
      <c r="L84" s="101">
        <f t="shared" si="15"/>
        <v>928283.018346078</v>
      </c>
      <c r="M84" s="96">
        <f t="shared" si="15"/>
        <v>1077780.2645683035</v>
      </c>
      <c r="N84" s="96">
        <f t="shared" si="15"/>
        <v>1222923.2220656099</v>
      </c>
      <c r="O84" s="96">
        <f t="shared" si="15"/>
        <v>1363838.7147814431</v>
      </c>
      <c r="P84" s="96">
        <f t="shared" si="15"/>
        <v>1500649.8727579783</v>
      </c>
      <c r="Q84" s="101">
        <f t="shared" si="15"/>
        <v>1633476.2397254868</v>
      </c>
      <c r="R84" s="96">
        <f t="shared" si="15"/>
        <v>1762433.8775580248</v>
      </c>
      <c r="S84" s="96">
        <f t="shared" si="15"/>
        <v>1887635.467686699</v>
      </c>
      <c r="T84" s="96">
        <f t="shared" si="15"/>
        <v>2009190.4095591987</v>
      </c>
      <c r="U84" s="96">
        <f t="shared" si="15"/>
        <v>2127204.9162315284</v>
      </c>
      <c r="V84" s="101">
        <f t="shared" si="15"/>
        <v>2241782.1071755365</v>
      </c>
      <c r="W84" s="96">
        <f t="shared" si="15"/>
        <v>2353022.098383313</v>
      </c>
      <c r="X84" s="96">
        <f t="shared" si="15"/>
        <v>2461022.089847175</v>
      </c>
      <c r="Y84" s="96">
        <f t="shared" si="15"/>
        <v>2565876.4504917</v>
      </c>
      <c r="Z84" s="96">
        <f t="shared" si="15"/>
        <v>2667676.800632015</v>
      </c>
      <c r="AA84" s="81">
        <f t="shared" si="15"/>
        <v>2766512.0920303795</v>
      </c>
      <c r="AB84" s="96">
        <f t="shared" si="15"/>
        <v>2901765.142894592</v>
      </c>
      <c r="AC84" s="96">
        <f t="shared" si="15"/>
        <v>2993782.327236764</v>
      </c>
      <c r="AD84" s="96">
        <f t="shared" si="15"/>
        <v>3083119.3994136327</v>
      </c>
      <c r="AE84" s="101">
        <f t="shared" si="15"/>
        <v>6061021.805309181</v>
      </c>
      <c r="AF84" s="96">
        <f t="shared" si="15"/>
        <v>6061021.80530918</v>
      </c>
      <c r="AG84" s="81">
        <f>SUM(C84:AD84)</f>
        <v>40605127.09994876</v>
      </c>
    </row>
    <row r="85" spans="1:12" ht="12.75" hidden="1">
      <c r="A85" s="25"/>
      <c r="B85" s="26" t="s">
        <v>125</v>
      </c>
      <c r="C85" s="95">
        <f>C84</f>
        <v>-599646.0551221038</v>
      </c>
      <c r="D85" s="95">
        <f aca="true" t="shared" si="16" ref="D85:L85">C85+D84</f>
        <v>-980257.0700243671</v>
      </c>
      <c r="E85" s="95">
        <f t="shared" si="16"/>
        <v>-1183799.5907803029</v>
      </c>
      <c r="F85" s="95">
        <f t="shared" si="16"/>
        <v>-1215669.9841051921</v>
      </c>
      <c r="G85" s="95">
        <f t="shared" si="16"/>
        <v>-1081105.1202863618</v>
      </c>
      <c r="H85" s="95">
        <f t="shared" si="16"/>
        <v>-785187.0412412558</v>
      </c>
      <c r="I85" s="96">
        <f t="shared" si="16"/>
        <v>-332847.4923939081</v>
      </c>
      <c r="J85" s="96">
        <f t="shared" si="16"/>
        <v>282851.73382611515</v>
      </c>
      <c r="K85" s="96">
        <f t="shared" si="16"/>
        <v>1057152.5885632986</v>
      </c>
      <c r="L85" s="96">
        <f t="shared" si="16"/>
        <v>1985435.6069093766</v>
      </c>
    </row>
    <row r="86" spans="1:32" ht="12.75" hidden="1">
      <c r="A86" s="25"/>
      <c r="B86" s="26" t="s">
        <v>126</v>
      </c>
      <c r="C86" s="95" t="e">
        <f>#REF!/(1+$C$25)^(1+C$51)</f>
        <v>#REF!</v>
      </c>
      <c r="D86" s="95" t="e">
        <f>#REF!/(1+$C$25)^(1+D$51)</f>
        <v>#REF!</v>
      </c>
      <c r="E86" s="95" t="e">
        <f>#REF!/(1+$C$25)^(1+E$51)</f>
        <v>#REF!</v>
      </c>
      <c r="F86" s="95" t="e">
        <f>#REF!/(1+$C$25)^(1+F$51)</f>
        <v>#REF!</v>
      </c>
      <c r="G86" s="95" t="e">
        <f>#REF!/(1+$C$25)^(1+G$51)</f>
        <v>#REF!</v>
      </c>
      <c r="H86" s="95" t="e">
        <f>#REF!/(1+$C$25)^(1+H$51)</f>
        <v>#REF!</v>
      </c>
      <c r="I86" s="96" t="e">
        <f>#REF!/(1+$C$25)^(1+I$51)</f>
        <v>#REF!</v>
      </c>
      <c r="J86" s="96" t="e">
        <f>#REF!/(1+$C$25)^(1+J$51)</f>
        <v>#REF!</v>
      </c>
      <c r="K86" s="96" t="e">
        <f>#REF!/(1+$C$25)^(1+K$51)</f>
        <v>#REF!</v>
      </c>
      <c r="L86" s="96" t="e">
        <f>#REF!/(1+$C$25)^(1+L$51)</f>
        <v>#REF!</v>
      </c>
      <c r="M86" s="96" t="e">
        <f>#REF!/(1+$C$25)^(1+M$51)</f>
        <v>#REF!</v>
      </c>
      <c r="N86" s="96" t="e">
        <f>#REF!/(1+$C$25)^(1+N$51)</f>
        <v>#REF!</v>
      </c>
      <c r="O86" s="96" t="e">
        <f>#REF!/(1+$C$25)^(1+O$51)</f>
        <v>#REF!</v>
      </c>
      <c r="P86" s="96" t="e">
        <f>#REF!/(1+$C$25)^(1+P$51)</f>
        <v>#REF!</v>
      </c>
      <c r="Q86" s="96" t="e">
        <f>#REF!/(1+$C$25)^(1+Q$51)</f>
        <v>#REF!</v>
      </c>
      <c r="R86" s="96" t="e">
        <f>#REF!/(1+$C$25)^(1+R$51)</f>
        <v>#REF!</v>
      </c>
      <c r="S86" s="96" t="e">
        <f>#REF!/(1+$C$25)^(1+S$51)</f>
        <v>#REF!</v>
      </c>
      <c r="T86" s="96" t="e">
        <f>#REF!/(1+$C$25)^(1+T$51)</f>
        <v>#REF!</v>
      </c>
      <c r="U86" s="96" t="e">
        <f>#REF!/(1+$C$25)^(1+U$51)</f>
        <v>#REF!</v>
      </c>
      <c r="V86" s="96" t="e">
        <f>#REF!/(1+$C$25)^(1+V$51)</f>
        <v>#REF!</v>
      </c>
      <c r="W86" s="96" t="e">
        <f>#REF!/(1+$C$25)^(1+W$51)</f>
        <v>#REF!</v>
      </c>
      <c r="X86" s="96" t="e">
        <f>#REF!/(1+$C$25)^(1+X$51)</f>
        <v>#REF!</v>
      </c>
      <c r="Y86" s="96" t="e">
        <f>#REF!/(1+$C$25)^(1+Y$51)</f>
        <v>#REF!</v>
      </c>
      <c r="Z86" s="96" t="e">
        <f>#REF!/(1+$C$25)^(1+Z$51)</f>
        <v>#REF!</v>
      </c>
      <c r="AA86" s="96" t="e">
        <f>#REF!/(1+$C$25)^(1+AA$51)</f>
        <v>#REF!</v>
      </c>
      <c r="AB86" s="96" t="e">
        <f>#REF!/(1+$C$25)^(1+AB$51)</f>
        <v>#REF!</v>
      </c>
      <c r="AC86" s="96" t="e">
        <f>#REF!/(1+$C$25)^(1+AC$51)</f>
        <v>#REF!</v>
      </c>
      <c r="AD86" s="96" t="e">
        <f>#REF!/(1+$C$25)^(1+AD$51)</f>
        <v>#REF!</v>
      </c>
      <c r="AE86" s="96" t="e">
        <f>#REF!/(1+$C$25)^(1+AE$51)</f>
        <v>#REF!</v>
      </c>
      <c r="AF86" s="96" t="e">
        <f>#REF!/(1+$C$25)^(1+AF$51)</f>
        <v>#REF!</v>
      </c>
    </row>
    <row r="87" spans="1:32" ht="12.75" hidden="1">
      <c r="A87" s="25"/>
      <c r="B87" s="26"/>
      <c r="C87" s="95"/>
      <c r="D87" s="95"/>
      <c r="E87" s="95"/>
      <c r="F87" s="95"/>
      <c r="G87" s="95"/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ht="12.75" hidden="1">
      <c r="A88" s="25"/>
      <c r="B88" s="26" t="s">
        <v>127</v>
      </c>
      <c r="C88" s="95" t="e">
        <f>C86</f>
        <v>#REF!</v>
      </c>
      <c r="D88" s="95" t="e">
        <f aca="true" t="shared" si="17" ref="D88:AF88">C88+D86</f>
        <v>#REF!</v>
      </c>
      <c r="E88" s="95" t="e">
        <f t="shared" si="17"/>
        <v>#REF!</v>
      </c>
      <c r="F88" s="95" t="e">
        <f t="shared" si="17"/>
        <v>#REF!</v>
      </c>
      <c r="G88" s="95" t="e">
        <f t="shared" si="17"/>
        <v>#REF!</v>
      </c>
      <c r="H88" s="95" t="e">
        <f t="shared" si="17"/>
        <v>#REF!</v>
      </c>
      <c r="I88" s="96" t="e">
        <f t="shared" si="17"/>
        <v>#REF!</v>
      </c>
      <c r="J88" s="96" t="e">
        <f>I88+J86</f>
        <v>#REF!</v>
      </c>
      <c r="K88" s="96" t="e">
        <f>J88+K86</f>
        <v>#REF!</v>
      </c>
      <c r="L88" s="96" t="e">
        <f t="shared" si="17"/>
        <v>#REF!</v>
      </c>
      <c r="M88" s="96" t="e">
        <f t="shared" si="17"/>
        <v>#REF!</v>
      </c>
      <c r="N88" s="96" t="e">
        <f t="shared" si="17"/>
        <v>#REF!</v>
      </c>
      <c r="O88" s="96" t="e">
        <f t="shared" si="17"/>
        <v>#REF!</v>
      </c>
      <c r="P88" s="96" t="e">
        <f t="shared" si="17"/>
        <v>#REF!</v>
      </c>
      <c r="Q88" s="96" t="e">
        <f t="shared" si="17"/>
        <v>#REF!</v>
      </c>
      <c r="R88" s="96" t="e">
        <f t="shared" si="17"/>
        <v>#REF!</v>
      </c>
      <c r="S88" s="96" t="e">
        <f t="shared" si="17"/>
        <v>#REF!</v>
      </c>
      <c r="T88" s="96" t="e">
        <f t="shared" si="17"/>
        <v>#REF!</v>
      </c>
      <c r="U88" s="96" t="e">
        <f t="shared" si="17"/>
        <v>#REF!</v>
      </c>
      <c r="V88" s="96" t="e">
        <f t="shared" si="17"/>
        <v>#REF!</v>
      </c>
      <c r="W88" s="96" t="e">
        <f t="shared" si="17"/>
        <v>#REF!</v>
      </c>
      <c r="X88" s="96" t="e">
        <f t="shared" si="17"/>
        <v>#REF!</v>
      </c>
      <c r="Y88" s="96" t="e">
        <f t="shared" si="17"/>
        <v>#REF!</v>
      </c>
      <c r="Z88" s="96" t="e">
        <f t="shared" si="17"/>
        <v>#REF!</v>
      </c>
      <c r="AA88" s="96" t="e">
        <f t="shared" si="17"/>
        <v>#REF!</v>
      </c>
      <c r="AB88" s="96" t="e">
        <f t="shared" si="17"/>
        <v>#REF!</v>
      </c>
      <c r="AC88" s="96" t="e">
        <f t="shared" si="17"/>
        <v>#REF!</v>
      </c>
      <c r="AD88" s="96" t="e">
        <f t="shared" si="17"/>
        <v>#REF!</v>
      </c>
      <c r="AE88" s="96" t="e">
        <f t="shared" si="17"/>
        <v>#REF!</v>
      </c>
      <c r="AF88" s="96" t="e">
        <f t="shared" si="17"/>
        <v>#REF!</v>
      </c>
    </row>
    <row r="89" spans="1:32" ht="12.75">
      <c r="A89" s="25"/>
      <c r="B89" s="26"/>
      <c r="C89" s="95"/>
      <c r="D89" s="95"/>
      <c r="E89" s="95"/>
      <c r="F89" s="95"/>
      <c r="G89" s="95"/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1:32" ht="15.75">
      <c r="A90" s="25"/>
      <c r="B90" s="102" t="s">
        <v>128</v>
      </c>
      <c r="C90" s="103">
        <f>(C61-C66-C67-C68)/'[1]KC format'!$P$13</f>
        <v>20.492407608267364</v>
      </c>
      <c r="D90" s="103">
        <f>(D61-D66-D67-D68)/'[1]KC format'!$P$13</f>
        <v>20.13013536239936</v>
      </c>
      <c r="E90" s="103">
        <f>(E61-E66-E67-E68)/'[1]KC format'!$P$13</f>
        <v>19.993944540094738</v>
      </c>
      <c r="F90" s="103">
        <f>(F61-F66-F67-F68)/'[1]KC format'!$P$13</f>
        <v>19.85366799312097</v>
      </c>
      <c r="G90" s="103">
        <f>(G61-G66-G67-G68)/'[1]KC format'!$P$13</f>
        <v>19.709183149737992</v>
      </c>
      <c r="H90" s="103">
        <f>(H61-H66-H67-H68)/'[1]KC format'!$P$13</f>
        <v>19.560363761053523</v>
      </c>
      <c r="I90" s="104">
        <f>(I61-I66-I67-I68)/'[1]KC format'!$P$13</f>
        <v>19.407079790708526</v>
      </c>
      <c r="J90" s="104">
        <f>(J61-J66-J67-J68)/'[1]KC format'!$P$13</f>
        <v>19.24919730125317</v>
      </c>
      <c r="K90" s="104">
        <f>(K61-K66-K67-K68)/'[1]KC format'!$P$13</f>
        <v>19.086578337114158</v>
      </c>
      <c r="L90" s="104">
        <f>(L61-L66-L67-L68)/'[1]KC format'!$P$13</f>
        <v>18.919080804050978</v>
      </c>
      <c r="M90" s="104">
        <f>(M61-M66-M67-M68)/'[1]KC format'!$P$13</f>
        <v>18.7465583449959</v>
      </c>
      <c r="N90" s="104">
        <f>(N61-N66-N67-N68)/'[1]KC format'!$P$13</f>
        <v>18.56886021216917</v>
      </c>
      <c r="O90" s="104">
        <f>(O61-O66-O67-O68)/'[1]KC format'!$P$13</f>
        <v>18.385831135357638</v>
      </c>
      <c r="P90" s="104">
        <f>(P61-P66-P67-P68)/'[1]KC format'!$P$13</f>
        <v>18.19731118624176</v>
      </c>
      <c r="Q90" s="104">
        <f>(Q61-Q66-Q67-Q68)/'[1]KC format'!$P$13</f>
        <v>18.00313563865241</v>
      </c>
      <c r="R90" s="104">
        <f>(R61-R66-R67-R68)/'[1]KC format'!$P$13</f>
        <v>17.803134824635368</v>
      </c>
      <c r="S90" s="104">
        <f>(S61-S66-S67-S68)/'[1]KC format'!$P$13</f>
        <v>17.59713398619782</v>
      </c>
      <c r="T90" s="104">
        <f>(T61-T66-T67-T68)/'[1]KC format'!$P$13</f>
        <v>17.384953122607147</v>
      </c>
      <c r="U90" s="104">
        <f>(U61-U66-U67-U68)/'[1]KC format'!$P$13</f>
        <v>17.166406833108756</v>
      </c>
      <c r="V90" s="104">
        <f>(V61-V66-V67-V68)/'[1]KC format'!$P$13</f>
        <v>16.94130415492541</v>
      </c>
      <c r="W90" s="104">
        <f>(W61-W66-W67-W68)/'[1]KC format'!$P$13</f>
        <v>16.709448396396567</v>
      </c>
      <c r="X90" s="104">
        <f>(X61-X66-X67-X68)/'[1]KC format'!$P$13</f>
        <v>16.470636965111858</v>
      </c>
      <c r="Y90" s="104">
        <f>(Y61-Y66-Y67-Y68)/'[1]KC format'!$P$13</f>
        <v>16.2246611908886</v>
      </c>
      <c r="Z90" s="104">
        <f>(Z61-Z66-Z67-Z68)/'[1]KC format'!$P$13</f>
        <v>15.971306143438657</v>
      </c>
      <c r="AA90" s="104">
        <f>(AA61-AA66-AA67-AA68)/'[1]KC format'!$P$13</f>
        <v>15.71035044456521</v>
      </c>
      <c r="AB90" s="104">
        <f>(AB61-AB66-AB67-AB68)/'[1]KC format'!$P$13</f>
        <v>15.138480003546267</v>
      </c>
      <c r="AC90" s="104">
        <f>(AC61-AC66-AC67-AC68)/'[1]KC format'!$P$13</f>
        <v>14.861632102611425</v>
      </c>
      <c r="AD90" s="104">
        <f>(AD61-AD66-AD67-AD68)/'[1]KC format'!$P$13</f>
        <v>14.576478764648543</v>
      </c>
      <c r="AE90" s="104">
        <f>(AE61-AE66-AE67-AE68)/'[1]KC format'!$P$13</f>
        <v>-10.083972541494157</v>
      </c>
      <c r="AF90" s="104">
        <f>(AF61-AF66-AF67-AF68)/'[1]KC format'!$P$13</f>
        <v>-10.386491717738984</v>
      </c>
    </row>
    <row r="91" spans="1:32" ht="15.75">
      <c r="A91" s="25"/>
      <c r="B91" s="26" t="s">
        <v>129</v>
      </c>
      <c r="C91" s="105">
        <f>(C64+C65)/'[1]KC format'!$P$13</f>
        <v>18.283503094798476</v>
      </c>
      <c r="D91" s="105">
        <f>(D64+D65)/'[1]KC format'!$P$13</f>
        <v>18.686024485728854</v>
      </c>
      <c r="E91" s="105">
        <f>(E64+E65)/'[1]KC format'!$P$13</f>
        <v>19.198496969537747</v>
      </c>
      <c r="F91" s="105">
        <f>(F64+F65)/'[1]KC format'!$P$13</f>
        <v>19.725381462845665</v>
      </c>
      <c r="G91" s="105">
        <f>(G64+G65)/'[1]KC format'!$P$13</f>
        <v>20.26709108263725</v>
      </c>
      <c r="H91" s="105">
        <f>(H64+H65)/'[1]KC format'!$P$13</f>
        <v>20.8240509545407</v>
      </c>
      <c r="I91" s="106">
        <f>(I64+I65)/'[1]KC format'!$P$13</f>
        <v>21.396698565389748</v>
      </c>
      <c r="J91" s="106">
        <f>(J64+J65)/'[1]KC format'!$P$13</f>
        <v>22.038599522351443</v>
      </c>
      <c r="K91" s="106">
        <f>(K64+K65)/'[1]KC format'!$P$13</f>
        <v>22.699757508021985</v>
      </c>
      <c r="L91" s="106">
        <f>(L64+L65)/'[1]KC format'!$P$13</f>
        <v>23.380750233262653</v>
      </c>
      <c r="M91" s="106">
        <f>(M64+M65)/'[1]KC format'!$P$13</f>
        <v>24.08217274026053</v>
      </c>
      <c r="N91" s="106">
        <f>(N64+N65)/'[1]KC format'!$P$13</f>
        <v>24.80463792246834</v>
      </c>
      <c r="O91" s="106">
        <f>(O64+O65)/'[1]KC format'!$P$13</f>
        <v>25.548777060142395</v>
      </c>
      <c r="P91" s="106">
        <f>(P64+P65)/'[1]KC format'!$P$13</f>
        <v>26.315240371946665</v>
      </c>
      <c r="Q91" s="106">
        <f>(Q64+Q65)/'[1]KC format'!$P$13</f>
        <v>27.104697583105057</v>
      </c>
      <c r="R91" s="106">
        <f>(R64+R65)/'[1]KC format'!$P$13</f>
        <v>27.91783851059822</v>
      </c>
      <c r="S91" s="106">
        <f>(S64+S65)/'[1]KC format'!$P$13</f>
        <v>28.755373665916167</v>
      </c>
      <c r="T91" s="106">
        <f>(T64+T65)/'[1]KC format'!$P$13</f>
        <v>29.618034875893656</v>
      </c>
      <c r="U91" s="106">
        <f>(U64+U65)/'[1]KC format'!$P$13</f>
        <v>30.50657592217046</v>
      </c>
      <c r="V91" s="106">
        <f>(V64+V65)/'[1]KC format'!$P$13</f>
        <v>31.421773199835574</v>
      </c>
      <c r="W91" s="106">
        <f>(W64+W65)/'[1]KC format'!$P$13</f>
        <v>32.36442639583064</v>
      </c>
      <c r="X91" s="106">
        <f>(X64+X65)/'[1]KC format'!$P$13</f>
        <v>33.33535918770556</v>
      </c>
      <c r="Y91" s="106">
        <f>(Y64+Y65)/'[1]KC format'!$P$13</f>
        <v>34.33541996333674</v>
      </c>
      <c r="Z91" s="106">
        <f>(Z64+Z65)/'[1]KC format'!$P$13</f>
        <v>35.36548256223684</v>
      </c>
      <c r="AA91" s="106">
        <f>(AA64+AA65)/'[1]KC format'!$P$13</f>
        <v>36.42644703910395</v>
      </c>
      <c r="AB91" s="106">
        <f>(AB64+AB65)/'[1]KC format'!$P$13</f>
        <v>37.51924045027706</v>
      </c>
      <c r="AC91" s="106">
        <f>(AC64+AC65)/'[1]KC format'!$P$13</f>
        <v>38.644817663785375</v>
      </c>
      <c r="AD91" s="106">
        <f>(AD64+AD65)/'[1]KC format'!$P$13</f>
        <v>39.804162193698936</v>
      </c>
      <c r="AE91" s="106">
        <f>(AE64+AE65)/'[1]KC format'!$P$13</f>
        <v>40.998287059509906</v>
      </c>
      <c r="AF91" s="106">
        <f>(AF64+AF65)/'[1]KC format'!$P$13</f>
        <v>42.22823567129521</v>
      </c>
    </row>
    <row r="92" spans="1:32" ht="15.75" hidden="1">
      <c r="A92" s="25"/>
      <c r="B92" s="26" t="s">
        <v>130</v>
      </c>
      <c r="C92" s="105">
        <f>(C64+C65+C80)/'[1]KC format'!$P$13</f>
        <v>14.072521467022321</v>
      </c>
      <c r="D92" s="105">
        <f>(D64+D65+D80)/'[1]KC format'!$P$13</f>
        <v>14.416029416063862</v>
      </c>
      <c r="E92" s="105">
        <f>(E64+E65+E80)/'[1]KC format'!$P$13</f>
        <v>14.413810867227246</v>
      </c>
      <c r="F92" s="105">
        <f>(F64+F65+F80)/'[1]KC format'!$P$13</f>
        <v>14.941250732326964</v>
      </c>
      <c r="G92" s="105">
        <f>(G64+G65+G80)/'[1]KC format'!$P$13</f>
        <v>15.365137749647431</v>
      </c>
      <c r="H92" s="105">
        <f>(H64+H65+H80)/'[1]KC format'!$P$13</f>
        <v>15.346833153505628</v>
      </c>
      <c r="I92" s="106">
        <f>(I64+I65+I80)/'[1]KC format'!$P$13</f>
        <v>15.322801747684736</v>
      </c>
      <c r="J92" s="106">
        <f>(J64+J65+J80)/'[1]KC format'!$P$13</f>
        <v>22.038599522351443</v>
      </c>
      <c r="K92" s="106">
        <f>(K64+K65+K80)/'[1]KC format'!$P$13</f>
        <v>22.699757508021985</v>
      </c>
      <c r="L92" s="106">
        <f>(L64+L65+L80)/'[1]KC format'!$P$13</f>
        <v>23.380750233262653</v>
      </c>
      <c r="M92" s="106">
        <f>(M64+M65+M80)/'[1]KC format'!$P$13</f>
        <v>24.08217274026053</v>
      </c>
      <c r="N92" s="106">
        <f>(N64+N65+N80)/'[1]KC format'!$P$13</f>
        <v>24.80463792246834</v>
      </c>
      <c r="O92" s="106">
        <f>(O64+O65+O80)/'[1]KC format'!$P$13</f>
        <v>25.548777060142395</v>
      </c>
      <c r="P92" s="106">
        <f>(P64+P65+P80)/'[1]KC format'!$P$13</f>
        <v>26.315240371946665</v>
      </c>
      <c r="Q92" s="106">
        <f>(Q64+Q65+Q80)/'[1]KC format'!$P$13</f>
        <v>27.104697583105057</v>
      </c>
      <c r="R92" s="106">
        <f>(R64+R65+R80)/'[1]KC format'!$P$13</f>
        <v>27.91783851059822</v>
      </c>
      <c r="S92" s="106">
        <f>(S64+S65+S80)/'[1]KC format'!$P$13</f>
        <v>28.755373665916167</v>
      </c>
      <c r="T92" s="106">
        <f>(T64+T65+T80)/'[1]KC format'!$P$13</f>
        <v>29.618034875893656</v>
      </c>
      <c r="U92" s="106">
        <f>(U64+U65+U80)/'[1]KC format'!$P$13</f>
        <v>30.50657592217046</v>
      </c>
      <c r="V92" s="106">
        <f>(V64+V65+V80)/'[1]KC format'!$P$13</f>
        <v>31.421773199835574</v>
      </c>
      <c r="W92" s="106">
        <f>(W64+W65+W80)/'[1]KC format'!$P$13</f>
        <v>32.36442639583064</v>
      </c>
      <c r="X92" s="106">
        <f>(X64+X65+X80)/'[1]KC format'!$P$13</f>
        <v>33.33535918770556</v>
      </c>
      <c r="Y92" s="106">
        <f>(Y64+Y65+Y80)/'[1]KC format'!$P$13</f>
        <v>34.33541996333674</v>
      </c>
      <c r="Z92" s="106">
        <f>(Z64+Z65+Z80)/'[1]KC format'!$P$13</f>
        <v>35.36548256223684</v>
      </c>
      <c r="AA92" s="106">
        <f>(AA64+AA65+AA80)/'[1]KC format'!$P$13</f>
        <v>36.42644703910395</v>
      </c>
      <c r="AB92" s="106">
        <f>(AB64+AB65+AB80)/'[1]KC format'!$P$13</f>
        <v>37.51924045027706</v>
      </c>
      <c r="AC92" s="106">
        <f>(AC64+AC65+AC80)/'[1]KC format'!$P$13</f>
        <v>38.644817663785375</v>
      </c>
      <c r="AD92" s="106">
        <f>(AD64+AD65+AD80)/'[1]KC format'!$P$13</f>
        <v>39.804162193698936</v>
      </c>
      <c r="AE92" s="106">
        <f>(AE64+AE65+AE80)/'[1]KC format'!$P$13</f>
        <v>40.998287059509906</v>
      </c>
      <c r="AF92" s="106">
        <f>(AF64+AF65+AF80)/'[1]KC format'!$P$13</f>
        <v>42.22823567129521</v>
      </c>
    </row>
    <row r="93" spans="1:32" ht="15.75" hidden="1">
      <c r="A93" s="25"/>
      <c r="B93" s="26" t="s">
        <v>131</v>
      </c>
      <c r="C93" s="107">
        <v>11.484156513734812</v>
      </c>
      <c r="D93" s="107">
        <v>11.996322618596933</v>
      </c>
      <c r="E93" s="107">
        <v>11.81720037305334</v>
      </c>
      <c r="F93" s="107">
        <v>12.313858548669874</v>
      </c>
      <c r="G93" s="107">
        <v>12.79562706457329</v>
      </c>
      <c r="H93" s="107">
        <v>12.585195302402239</v>
      </c>
      <c r="I93" s="108">
        <v>12.363694675442364</v>
      </c>
      <c r="J93" s="108">
        <v>24.464497196798337</v>
      </c>
      <c r="K93" s="108">
        <v>25.198432112702292</v>
      </c>
      <c r="L93" s="108">
        <v>25.954385076083362</v>
      </c>
      <c r="M93" s="108">
        <v>26.733016628365863</v>
      </c>
      <c r="N93" s="108">
        <v>27.535007127216836</v>
      </c>
      <c r="O93" s="108">
        <v>28.36105734103334</v>
      </c>
      <c r="P93" s="108">
        <v>29.211889061264344</v>
      </c>
      <c r="Q93" s="108">
        <v>30.088245733102273</v>
      </c>
      <c r="R93" s="108">
        <v>30.99089310509535</v>
      </c>
      <c r="S93" s="108">
        <v>31.920619898248212</v>
      </c>
      <c r="T93" s="108">
        <v>33.516650893160616</v>
      </c>
      <c r="U93" s="108">
        <v>34.52215041995544</v>
      </c>
      <c r="V93" s="108">
        <v>35.5578149325541</v>
      </c>
      <c r="W93" s="108">
        <v>36.62454938053072</v>
      </c>
      <c r="X93" s="108">
        <v>37.72328586194665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</row>
    <row r="94" spans="1:8" ht="12.75">
      <c r="A94" s="109"/>
      <c r="B94" s="110"/>
      <c r="C94" s="110"/>
      <c r="D94" s="110"/>
      <c r="E94" s="110"/>
      <c r="F94" s="110"/>
      <c r="G94" s="110"/>
      <c r="H94" s="110"/>
    </row>
    <row r="95" spans="1:63" s="114" customFormat="1" ht="12.75">
      <c r="A95" s="111"/>
      <c r="B95" s="112"/>
      <c r="C95" s="112"/>
      <c r="D95" s="112"/>
      <c r="E95" s="112"/>
      <c r="F95" s="112"/>
      <c r="G95" s="112"/>
      <c r="H95" s="112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</row>
    <row r="96" spans="1:63" s="114" customFormat="1" ht="12.75">
      <c r="A96" s="115"/>
      <c r="B96" s="112"/>
      <c r="C96" s="116"/>
      <c r="D96" s="117"/>
      <c r="E96" s="117"/>
      <c r="F96" s="117"/>
      <c r="G96" s="117"/>
      <c r="H96" s="117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</row>
    <row r="97" spans="1:32" ht="12.75">
      <c r="A97" s="77"/>
      <c r="B97" s="119" t="s">
        <v>132</v>
      </c>
      <c r="C97" s="95"/>
      <c r="D97" s="95"/>
      <c r="E97" s="95"/>
      <c r="F97" s="95"/>
      <c r="G97" s="95"/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</row>
    <row r="98" spans="1:32" ht="12.75">
      <c r="A98" s="77"/>
      <c r="B98" s="119"/>
      <c r="C98" s="26">
        <v>1</v>
      </c>
      <c r="D98" s="75">
        <f>C98+1</f>
        <v>2</v>
      </c>
      <c r="E98" s="75">
        <f aca="true" t="shared" si="18" ref="E98:AF99">D98+1</f>
        <v>3</v>
      </c>
      <c r="F98" s="75">
        <f t="shared" si="18"/>
        <v>4</v>
      </c>
      <c r="G98" s="75">
        <f t="shared" si="18"/>
        <v>5</v>
      </c>
      <c r="H98" s="75">
        <f t="shared" si="18"/>
        <v>6</v>
      </c>
      <c r="I98" s="76">
        <f t="shared" si="18"/>
        <v>7</v>
      </c>
      <c r="J98" s="76">
        <f t="shared" si="18"/>
        <v>8</v>
      </c>
      <c r="K98" s="76">
        <f t="shared" si="18"/>
        <v>9</v>
      </c>
      <c r="L98" s="76">
        <f t="shared" si="18"/>
        <v>10</v>
      </c>
      <c r="M98" s="76">
        <f t="shared" si="18"/>
        <v>11</v>
      </c>
      <c r="N98" s="76">
        <f t="shared" si="18"/>
        <v>12</v>
      </c>
      <c r="O98" s="76">
        <f t="shared" si="18"/>
        <v>13</v>
      </c>
      <c r="P98" s="76">
        <f t="shared" si="18"/>
        <v>14</v>
      </c>
      <c r="Q98" s="76">
        <f t="shared" si="18"/>
        <v>15</v>
      </c>
      <c r="R98" s="76">
        <f t="shared" si="18"/>
        <v>16</v>
      </c>
      <c r="S98" s="76">
        <f t="shared" si="18"/>
        <v>17</v>
      </c>
      <c r="T98" s="76">
        <f t="shared" si="18"/>
        <v>18</v>
      </c>
      <c r="U98" s="76">
        <f t="shared" si="18"/>
        <v>19</v>
      </c>
      <c r="V98" s="76">
        <f t="shared" si="18"/>
        <v>20</v>
      </c>
      <c r="W98" s="76">
        <f t="shared" si="18"/>
        <v>21</v>
      </c>
      <c r="X98" s="76">
        <f t="shared" si="18"/>
        <v>22</v>
      </c>
      <c r="Y98" s="76">
        <f t="shared" si="18"/>
        <v>23</v>
      </c>
      <c r="Z98" s="76">
        <f t="shared" si="18"/>
        <v>24</v>
      </c>
      <c r="AA98" s="76">
        <f t="shared" si="18"/>
        <v>25</v>
      </c>
      <c r="AB98" s="76">
        <f t="shared" si="18"/>
        <v>26</v>
      </c>
      <c r="AC98" s="76">
        <f t="shared" si="18"/>
        <v>27</v>
      </c>
      <c r="AD98" s="76">
        <f t="shared" si="18"/>
        <v>28</v>
      </c>
      <c r="AE98" s="76">
        <f t="shared" si="18"/>
        <v>29</v>
      </c>
      <c r="AF98" s="76">
        <f t="shared" si="18"/>
        <v>30</v>
      </c>
    </row>
    <row r="99" spans="1:32" ht="13.5" thickBot="1">
      <c r="A99" s="77"/>
      <c r="B99" s="119"/>
      <c r="C99" s="26">
        <v>2007</v>
      </c>
      <c r="D99" s="26">
        <f>C99+1</f>
        <v>2008</v>
      </c>
      <c r="E99" s="26">
        <f>D99+1</f>
        <v>2009</v>
      </c>
      <c r="F99" s="26">
        <f>E99+1</f>
        <v>2010</v>
      </c>
      <c r="G99" s="26">
        <f>F99+1</f>
        <v>2011</v>
      </c>
      <c r="H99" s="26">
        <f t="shared" si="18"/>
        <v>2012</v>
      </c>
      <c r="I99" s="18">
        <f t="shared" si="18"/>
        <v>2013</v>
      </c>
      <c r="J99" s="18">
        <f t="shared" si="18"/>
        <v>2014</v>
      </c>
      <c r="K99" s="18">
        <f t="shared" si="18"/>
        <v>2015</v>
      </c>
      <c r="L99" s="18">
        <f t="shared" si="18"/>
        <v>2016</v>
      </c>
      <c r="M99" s="18">
        <f t="shared" si="18"/>
        <v>2017</v>
      </c>
      <c r="N99" s="18">
        <f t="shared" si="18"/>
        <v>2018</v>
      </c>
      <c r="O99" s="18">
        <f t="shared" si="18"/>
        <v>2019</v>
      </c>
      <c r="P99" s="18">
        <f t="shared" si="18"/>
        <v>2020</v>
      </c>
      <c r="Q99" s="18">
        <f t="shared" si="18"/>
        <v>2021</v>
      </c>
      <c r="R99" s="18">
        <f t="shared" si="18"/>
        <v>2022</v>
      </c>
      <c r="S99" s="18">
        <f t="shared" si="18"/>
        <v>2023</v>
      </c>
      <c r="T99" s="18">
        <f t="shared" si="18"/>
        <v>2024</v>
      </c>
      <c r="U99" s="18">
        <f t="shared" si="18"/>
        <v>2025</v>
      </c>
      <c r="V99" s="18">
        <f>U99+1</f>
        <v>2026</v>
      </c>
      <c r="W99" s="18">
        <f t="shared" si="18"/>
        <v>2027</v>
      </c>
      <c r="X99" s="18">
        <f t="shared" si="18"/>
        <v>2028</v>
      </c>
      <c r="Y99" s="18">
        <f t="shared" si="18"/>
        <v>2029</v>
      </c>
      <c r="Z99" s="18">
        <f t="shared" si="18"/>
        <v>2030</v>
      </c>
      <c r="AA99" s="18">
        <f t="shared" si="18"/>
        <v>2031</v>
      </c>
      <c r="AB99" s="18">
        <f t="shared" si="18"/>
        <v>2032</v>
      </c>
      <c r="AC99" s="18">
        <f t="shared" si="18"/>
        <v>2033</v>
      </c>
      <c r="AD99" s="18">
        <f t="shared" si="18"/>
        <v>2034</v>
      </c>
      <c r="AE99" s="18">
        <f t="shared" si="18"/>
        <v>2035</v>
      </c>
      <c r="AF99" s="18">
        <f t="shared" si="18"/>
        <v>2036</v>
      </c>
    </row>
    <row r="100" spans="1:32" ht="13.5" thickBot="1">
      <c r="A100" s="120">
        <f>ROUND(NPV($C$26,C100:AD100),-5)</f>
        <v>14100000</v>
      </c>
      <c r="B100" s="119" t="s">
        <v>133</v>
      </c>
      <c r="C100" s="75">
        <f aca="true" t="shared" si="19" ref="C100:AF100">$C$7*(C55+C56)</f>
        <v>1279214.894530998</v>
      </c>
      <c r="D100" s="75">
        <f t="shared" si="19"/>
        <v>1279214.894530998</v>
      </c>
      <c r="E100" s="75">
        <f t="shared" si="19"/>
        <v>1279214.894530998</v>
      </c>
      <c r="F100" s="75">
        <f t="shared" si="19"/>
        <v>1279214.894530998</v>
      </c>
      <c r="G100" s="75">
        <f t="shared" si="19"/>
        <v>1279214.894530998</v>
      </c>
      <c r="H100" s="75">
        <f t="shared" si="19"/>
        <v>1279214.894530998</v>
      </c>
      <c r="I100" s="76">
        <f t="shared" si="19"/>
        <v>1279214.894530998</v>
      </c>
      <c r="J100" s="76">
        <f t="shared" si="19"/>
        <v>1279214.894530998</v>
      </c>
      <c r="K100" s="76">
        <f t="shared" si="19"/>
        <v>1279214.894530998</v>
      </c>
      <c r="L100" s="76">
        <f t="shared" si="19"/>
        <v>1279214.894530998</v>
      </c>
      <c r="M100" s="76">
        <f t="shared" si="19"/>
        <v>1279214.894530998</v>
      </c>
      <c r="N100" s="76">
        <f t="shared" si="19"/>
        <v>1279214.894530998</v>
      </c>
      <c r="O100" s="76">
        <f t="shared" si="19"/>
        <v>1279214.894530998</v>
      </c>
      <c r="P100" s="76">
        <f t="shared" si="19"/>
        <v>1279214.894530998</v>
      </c>
      <c r="Q100" s="76">
        <f t="shared" si="19"/>
        <v>1279214.894530998</v>
      </c>
      <c r="R100" s="76">
        <f t="shared" si="19"/>
        <v>1279214.894530998</v>
      </c>
      <c r="S100" s="76">
        <f t="shared" si="19"/>
        <v>1279214.894530998</v>
      </c>
      <c r="T100" s="76">
        <f t="shared" si="19"/>
        <v>1279214.894530998</v>
      </c>
      <c r="U100" s="76">
        <f t="shared" si="19"/>
        <v>1279214.894530998</v>
      </c>
      <c r="V100" s="76">
        <f t="shared" si="19"/>
        <v>1279214.894530998</v>
      </c>
      <c r="W100" s="76">
        <f t="shared" si="19"/>
        <v>1279214.894530998</v>
      </c>
      <c r="X100" s="76">
        <f t="shared" si="19"/>
        <v>1279214.894530998</v>
      </c>
      <c r="Y100" s="76">
        <f t="shared" si="19"/>
        <v>1279214.894530998</v>
      </c>
      <c r="Z100" s="76">
        <f t="shared" si="19"/>
        <v>1279214.894530998</v>
      </c>
      <c r="AA100" s="76">
        <f t="shared" si="19"/>
        <v>1279214.894530998</v>
      </c>
      <c r="AB100" s="76">
        <f t="shared" si="19"/>
        <v>1279214.894530998</v>
      </c>
      <c r="AC100" s="76">
        <f t="shared" si="19"/>
        <v>1279214.894530998</v>
      </c>
      <c r="AD100" s="76">
        <f t="shared" si="19"/>
        <v>1279214.894530998</v>
      </c>
      <c r="AE100" s="76">
        <f t="shared" si="19"/>
        <v>0</v>
      </c>
      <c r="AF100" s="76">
        <f t="shared" si="19"/>
        <v>0</v>
      </c>
    </row>
    <row r="101" spans="1:32" ht="12.75">
      <c r="A101" s="77" t="s">
        <v>134</v>
      </c>
      <c r="B101" s="121"/>
      <c r="C101" s="95"/>
      <c r="D101" s="95"/>
      <c r="E101" s="95"/>
      <c r="F101" s="95"/>
      <c r="G101" s="95"/>
      <c r="H101" s="95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</row>
    <row r="102" spans="1:32" ht="12.75">
      <c r="A102" s="77">
        <f>A106/D102</f>
        <v>37893.59391965255</v>
      </c>
      <c r="B102" s="121" t="s">
        <v>135</v>
      </c>
      <c r="C102" s="95">
        <f>'[1]WR Parking Model'!K139</f>
        <v>898</v>
      </c>
      <c r="D102" s="95">
        <f>'[1]WR Parking Model'!K140</f>
        <v>921</v>
      </c>
      <c r="E102" s="95">
        <f>D102</f>
        <v>921</v>
      </c>
      <c r="F102" s="95">
        <f aca="true" t="shared" si="20" ref="F102:AF102">E102</f>
        <v>921</v>
      </c>
      <c r="G102" s="95">
        <f t="shared" si="20"/>
        <v>921</v>
      </c>
      <c r="H102" s="95">
        <f t="shared" si="20"/>
        <v>921</v>
      </c>
      <c r="I102" s="96">
        <f t="shared" si="20"/>
        <v>921</v>
      </c>
      <c r="J102" s="96">
        <f t="shared" si="20"/>
        <v>921</v>
      </c>
      <c r="K102" s="96">
        <f t="shared" si="20"/>
        <v>921</v>
      </c>
      <c r="L102" s="96">
        <f t="shared" si="20"/>
        <v>921</v>
      </c>
      <c r="M102" s="96">
        <f t="shared" si="20"/>
        <v>921</v>
      </c>
      <c r="N102" s="96">
        <f t="shared" si="20"/>
        <v>921</v>
      </c>
      <c r="O102" s="96">
        <f t="shared" si="20"/>
        <v>921</v>
      </c>
      <c r="P102" s="96">
        <f t="shared" si="20"/>
        <v>921</v>
      </c>
      <c r="Q102" s="96">
        <f t="shared" si="20"/>
        <v>921</v>
      </c>
      <c r="R102" s="96">
        <f t="shared" si="20"/>
        <v>921</v>
      </c>
      <c r="S102" s="96">
        <f t="shared" si="20"/>
        <v>921</v>
      </c>
      <c r="T102" s="96">
        <f t="shared" si="20"/>
        <v>921</v>
      </c>
      <c r="U102" s="96">
        <f t="shared" si="20"/>
        <v>921</v>
      </c>
      <c r="V102" s="96">
        <f t="shared" si="20"/>
        <v>921</v>
      </c>
      <c r="W102" s="96">
        <f t="shared" si="20"/>
        <v>921</v>
      </c>
      <c r="X102" s="96">
        <f t="shared" si="20"/>
        <v>921</v>
      </c>
      <c r="Y102" s="96">
        <f t="shared" si="20"/>
        <v>921</v>
      </c>
      <c r="Z102" s="96">
        <f t="shared" si="20"/>
        <v>921</v>
      </c>
      <c r="AA102" s="96">
        <f t="shared" si="20"/>
        <v>921</v>
      </c>
      <c r="AB102" s="96">
        <f t="shared" si="20"/>
        <v>921</v>
      </c>
      <c r="AC102" s="96">
        <f t="shared" si="20"/>
        <v>921</v>
      </c>
      <c r="AD102" s="96">
        <f t="shared" si="20"/>
        <v>921</v>
      </c>
      <c r="AE102" s="96">
        <f t="shared" si="20"/>
        <v>921</v>
      </c>
      <c r="AF102" s="96">
        <f t="shared" si="20"/>
        <v>921</v>
      </c>
    </row>
    <row r="103" spans="1:32" ht="12.75">
      <c r="A103" s="77"/>
      <c r="B103" s="121"/>
      <c r="C103" s="95"/>
      <c r="D103" s="95"/>
      <c r="E103" s="95"/>
      <c r="F103" s="95"/>
      <c r="G103" s="95"/>
      <c r="H103" s="95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</row>
    <row r="104" spans="1:32" ht="12.75">
      <c r="A104" s="77"/>
      <c r="B104" s="119" t="s">
        <v>136</v>
      </c>
      <c r="C104" s="95">
        <f>'[1]WR Parking Model'!M147</f>
        <v>2630415.987948205</v>
      </c>
      <c r="D104" s="95">
        <f>'[1]WR Parking Model'!M148</f>
        <v>2779632.1440966623</v>
      </c>
      <c r="E104" s="95">
        <f>D104*(1+'[1]WR Parking Model'!$C$25)</f>
        <v>2863021.108419562</v>
      </c>
      <c r="F104" s="95">
        <f>E104*(1+'[1]WR Parking Model'!$C$25)</f>
        <v>2948911.7416721494</v>
      </c>
      <c r="G104" s="95">
        <f>F104*(1+'[1]WR Parking Model'!$C$25)</f>
        <v>3037379.093922314</v>
      </c>
      <c r="H104" s="95">
        <f>G104*(1+'[1]WR Parking Model'!$C$25)</f>
        <v>3128500.4667399833</v>
      </c>
      <c r="I104" s="96">
        <f>H104*(1+'[1]WR Parking Model'!$C$25)</f>
        <v>3222355.480742183</v>
      </c>
      <c r="J104" s="96">
        <f>I104*(1+'[1]WR Parking Model'!$C$25)</f>
        <v>3319026.145164449</v>
      </c>
      <c r="K104" s="96">
        <f>J104*(1+'[1]WR Parking Model'!$C$25)</f>
        <v>3418596.9295193823</v>
      </c>
      <c r="L104" s="96">
        <f>K104*(1+'[1]WR Parking Model'!$C$25)</f>
        <v>3521154.837404964</v>
      </c>
      <c r="M104" s="96">
        <f>L104*(1+'[1]WR Parking Model'!$C$25)</f>
        <v>3626789.482527113</v>
      </c>
      <c r="N104" s="96">
        <f>M104*(1+'[1]WR Parking Model'!$C$25)</f>
        <v>3735593.1670029266</v>
      </c>
      <c r="O104" s="96">
        <f>N104*(1+'[1]WR Parking Model'!$C$25)</f>
        <v>3847660.9620130146</v>
      </c>
      <c r="P104" s="96">
        <f>O104*(1+'[1]WR Parking Model'!$C$25)</f>
        <v>3963090.790873405</v>
      </c>
      <c r="Q104" s="96">
        <f>P104*(1+'[1]WR Parking Model'!$C$25)</f>
        <v>4081983.5145996073</v>
      </c>
      <c r="R104" s="96">
        <f>Q104*(1+'[1]WR Parking Model'!$C$25)</f>
        <v>4204443.020037596</v>
      </c>
      <c r="S104" s="96">
        <f>R104*(1+'[1]WR Parking Model'!$C$25)</f>
        <v>4330576.310638724</v>
      </c>
      <c r="T104" s="96">
        <f>S104*(1+'[1]WR Parking Model'!$C$25)</f>
        <v>4460493.599957886</v>
      </c>
      <c r="U104" s="96">
        <f>T104*(1+'[1]WR Parking Model'!$C$25)</f>
        <v>4594308.407956623</v>
      </c>
      <c r="V104" s="96">
        <f>U104*(1+'[1]WR Parking Model'!$C$25)</f>
        <v>4732137.660195322</v>
      </c>
      <c r="W104" s="96">
        <f>V104*(1+'[1]WR Parking Model'!$C$25)</f>
        <v>4874101.790001182</v>
      </c>
      <c r="X104" s="96">
        <f>W104*(1+'[1]WR Parking Model'!$C$25)</f>
        <v>5020324.843701217</v>
      </c>
      <c r="Y104" s="96">
        <f>X104*(1+'[1]WR Parking Model'!$C$25)</f>
        <v>5170934.589012254</v>
      </c>
      <c r="Z104" s="96">
        <f>Y104*(1+'[1]WR Parking Model'!$C$25)</f>
        <v>5326062.626682621</v>
      </c>
      <c r="AA104" s="96">
        <f>Z104*(1+'[1]WR Parking Model'!$C$25)</f>
        <v>5485844.5054831</v>
      </c>
      <c r="AB104" s="96">
        <f>AA104*(1+'[1]WR Parking Model'!$C$25)</f>
        <v>5650419.840647593</v>
      </c>
      <c r="AC104" s="96">
        <f>AB104*(1+'[1]WR Parking Model'!$C$25)</f>
        <v>5819932.435867021</v>
      </c>
      <c r="AD104" s="96">
        <f>AC104*(1+'[1]WR Parking Model'!$C$25)</f>
        <v>5994530.408943032</v>
      </c>
      <c r="AE104" s="96">
        <f>AD104*(1+'[1]WR Parking Model'!$C$25)</f>
        <v>6174366.321211323</v>
      </c>
      <c r="AF104" s="96">
        <f>AE104*(1+'[1]WR Parking Model'!$C$25)</f>
        <v>6359597.310847663</v>
      </c>
    </row>
    <row r="105" spans="1:32" ht="13.5" thickBot="1">
      <c r="A105" s="77"/>
      <c r="B105" s="119" t="s">
        <v>137</v>
      </c>
      <c r="C105" s="95">
        <f>'[1]WR Parking Model'!N147</f>
        <v>320033.0371497157</v>
      </c>
      <c r="D105" s="95">
        <f>'[1]WR Parking Model'!N148</f>
        <v>331696.2225836667</v>
      </c>
      <c r="E105" s="95">
        <f>D105*(1+'[1]WR Parking Model'!$C$25)</f>
        <v>341647.10926117667</v>
      </c>
      <c r="F105" s="95">
        <f>E105*(1+'[1]WR Parking Model'!$C$25)</f>
        <v>351896.52253901196</v>
      </c>
      <c r="G105" s="95">
        <f>F105*(1+'[1]WR Parking Model'!$C$25)</f>
        <v>362453.4182151823</v>
      </c>
      <c r="H105" s="95">
        <f>G105*(1+'[1]WR Parking Model'!$C$25)</f>
        <v>373327.0207616378</v>
      </c>
      <c r="I105" s="96">
        <f>H105*(1+'[1]WR Parking Model'!$C$25)</f>
        <v>384526.8313844869</v>
      </c>
      <c r="J105" s="96">
        <f>I105*(1+'[1]WR Parking Model'!$C$25)</f>
        <v>396062.6363260216</v>
      </c>
      <c r="K105" s="96">
        <f>J105*(1+'[1]WR Parking Model'!$C$25)</f>
        <v>407944.51541580225</v>
      </c>
      <c r="L105" s="96">
        <f>K105*(1+'[1]WR Parking Model'!$C$25)</f>
        <v>420182.85087827634</v>
      </c>
      <c r="M105" s="96">
        <f>L105*(1+'[1]WR Parking Model'!$C$25)</f>
        <v>432788.3364046246</v>
      </c>
      <c r="N105" s="96">
        <f>M105*(1+'[1]WR Parking Model'!$C$25)</f>
        <v>445771.98649676336</v>
      </c>
      <c r="O105" s="96">
        <f>N105*(1+'[1]WR Parking Model'!$C$25)</f>
        <v>459145.14609166625</v>
      </c>
      <c r="P105" s="96">
        <f>O105*(1+'[1]WR Parking Model'!$C$25)</f>
        <v>472919.50047441624</v>
      </c>
      <c r="Q105" s="96">
        <f>P105*(1+'[1]WR Parking Model'!$C$25)</f>
        <v>487107.08548864874</v>
      </c>
      <c r="R105" s="96">
        <f>Q105*(1+'[1]WR Parking Model'!$C$25)</f>
        <v>501720.2980533082</v>
      </c>
      <c r="S105" s="96">
        <f>R105*(1+'[1]WR Parking Model'!$C$25)</f>
        <v>516771.9069949075</v>
      </c>
      <c r="T105" s="96">
        <f>S105*(1+'[1]WR Parking Model'!$C$25)</f>
        <v>532275.0642047547</v>
      </c>
      <c r="U105" s="96">
        <f>T105*(1+'[1]WR Parking Model'!$C$25)</f>
        <v>548243.3161308973</v>
      </c>
      <c r="V105" s="96">
        <f>U105*(1+'[1]WR Parking Model'!$C$25)</f>
        <v>564690.6156148242</v>
      </c>
      <c r="W105" s="96">
        <f>V105*(1+'[1]WR Parking Model'!$C$25)</f>
        <v>581631.334083269</v>
      </c>
      <c r="X105" s="96">
        <f>W105*(1+'[1]WR Parking Model'!$C$25)</f>
        <v>599080.2741057671</v>
      </c>
      <c r="Y105" s="96">
        <f>X105*(1+'[1]WR Parking Model'!$C$25)</f>
        <v>617052.6823289401</v>
      </c>
      <c r="Z105" s="96">
        <f>Y105*(1+'[1]WR Parking Model'!$C$25)</f>
        <v>635564.2627988084</v>
      </c>
      <c r="AA105" s="96">
        <f>Z105*(1+'[1]WR Parking Model'!$C$25)</f>
        <v>654631.1906827727</v>
      </c>
      <c r="AB105" s="96">
        <f>AA105*(1+'[1]WR Parking Model'!$C$25)</f>
        <v>674270.1264032559</v>
      </c>
      <c r="AC105" s="96">
        <f>AB105*(1+'[1]WR Parking Model'!$C$25)</f>
        <v>694498.2301953535</v>
      </c>
      <c r="AD105" s="96">
        <f>AC105*(1+'[1]WR Parking Model'!$C$25)</f>
        <v>715333.1771012142</v>
      </c>
      <c r="AE105" s="96">
        <f>AD105*(1+'[1]WR Parking Model'!$C$25)</f>
        <v>736793.1724142507</v>
      </c>
      <c r="AF105" s="96">
        <f>AE105*(1+'[1]WR Parking Model'!$C$25)</f>
        <v>758896.9675866782</v>
      </c>
    </row>
    <row r="106" spans="1:32" ht="13.5" thickBot="1">
      <c r="A106" s="120">
        <f>ROUND(NPV($C$26,C106:AD106),-5)</f>
        <v>34900000</v>
      </c>
      <c r="B106" s="119" t="s">
        <v>138</v>
      </c>
      <c r="C106" s="95">
        <f>C104-C105</f>
        <v>2310382.950798489</v>
      </c>
      <c r="D106" s="95">
        <f>D104-D105</f>
        <v>2447935.921512996</v>
      </c>
      <c r="E106" s="95">
        <f>E104-E105</f>
        <v>2521373.9991583857</v>
      </c>
      <c r="F106" s="95">
        <f aca="true" t="shared" si="21" ref="F106:AF106">F104-F105</f>
        <v>2597015.2191331373</v>
      </c>
      <c r="G106" s="95">
        <f t="shared" si="21"/>
        <v>2674925.6757071316</v>
      </c>
      <c r="H106" s="95">
        <f t="shared" si="21"/>
        <v>2755173.4459783453</v>
      </c>
      <c r="I106" s="96">
        <f t="shared" si="21"/>
        <v>2837828.649357696</v>
      </c>
      <c r="J106" s="96">
        <f t="shared" si="21"/>
        <v>2922963.5088384273</v>
      </c>
      <c r="K106" s="96">
        <f t="shared" si="21"/>
        <v>3010652.41410358</v>
      </c>
      <c r="L106" s="96">
        <f t="shared" si="21"/>
        <v>3100971.9865266876</v>
      </c>
      <c r="M106" s="96">
        <f t="shared" si="21"/>
        <v>3194001.146122488</v>
      </c>
      <c r="N106" s="96">
        <f t="shared" si="21"/>
        <v>3289821.1805061633</v>
      </c>
      <c r="O106" s="96">
        <f t="shared" si="21"/>
        <v>3388515.8159213485</v>
      </c>
      <c r="P106" s="96">
        <f t="shared" si="21"/>
        <v>3490171.290398989</v>
      </c>
      <c r="Q106" s="96">
        <f t="shared" si="21"/>
        <v>3594876.4291109587</v>
      </c>
      <c r="R106" s="96">
        <f t="shared" si="21"/>
        <v>3702722.7219842877</v>
      </c>
      <c r="S106" s="96">
        <f t="shared" si="21"/>
        <v>3813804.4036438162</v>
      </c>
      <c r="T106" s="96">
        <f t="shared" si="21"/>
        <v>3928218.5357531314</v>
      </c>
      <c r="U106" s="96">
        <f t="shared" si="21"/>
        <v>4046065.0918257255</v>
      </c>
      <c r="V106" s="96">
        <f t="shared" si="21"/>
        <v>4167447.044580498</v>
      </c>
      <c r="W106" s="96">
        <f t="shared" si="21"/>
        <v>4292470.455917913</v>
      </c>
      <c r="X106" s="96">
        <f t="shared" si="21"/>
        <v>4421244.569595451</v>
      </c>
      <c r="Y106" s="96">
        <f t="shared" si="21"/>
        <v>4553881.906683314</v>
      </c>
      <c r="Z106" s="96">
        <f t="shared" si="21"/>
        <v>4690498.363883813</v>
      </c>
      <c r="AA106" s="96">
        <f t="shared" si="21"/>
        <v>4831213.314800328</v>
      </c>
      <c r="AB106" s="96">
        <f t="shared" si="21"/>
        <v>4976149.714244338</v>
      </c>
      <c r="AC106" s="96">
        <f t="shared" si="21"/>
        <v>5125434.205671667</v>
      </c>
      <c r="AD106" s="96">
        <f t="shared" si="21"/>
        <v>5279197.2318418175</v>
      </c>
      <c r="AE106" s="96">
        <f t="shared" si="21"/>
        <v>5437573.1487970725</v>
      </c>
      <c r="AF106" s="96">
        <f t="shared" si="21"/>
        <v>5600700.343260985</v>
      </c>
    </row>
    <row r="107" spans="1:32" ht="13.5" thickBot="1">
      <c r="A107" s="120">
        <f>ROUND(NPV($C$26,C107:AD107),-5)</f>
        <v>20700000</v>
      </c>
      <c r="B107" s="119" t="s">
        <v>139</v>
      </c>
      <c r="C107" s="80">
        <f>C106-C100</f>
        <v>1031168.0562674911</v>
      </c>
      <c r="D107" s="80">
        <f aca="true" t="shared" si="22" ref="D107:AF107">D106-D100</f>
        <v>1168721.0269819978</v>
      </c>
      <c r="E107" s="80">
        <f t="shared" si="22"/>
        <v>1242159.1046273876</v>
      </c>
      <c r="F107" s="80">
        <f t="shared" si="22"/>
        <v>1317800.3246021392</v>
      </c>
      <c r="G107" s="80">
        <f t="shared" si="22"/>
        <v>1395710.7811761335</v>
      </c>
      <c r="H107" s="80">
        <f t="shared" si="22"/>
        <v>1475958.5514473473</v>
      </c>
      <c r="I107" s="81">
        <f t="shared" si="22"/>
        <v>1558613.754826698</v>
      </c>
      <c r="J107" s="81">
        <f t="shared" si="22"/>
        <v>1643748.6143074292</v>
      </c>
      <c r="K107" s="81">
        <f t="shared" si="22"/>
        <v>1731437.519572582</v>
      </c>
      <c r="L107" s="81">
        <f t="shared" si="22"/>
        <v>1821757.0919956896</v>
      </c>
      <c r="M107" s="81">
        <f t="shared" si="22"/>
        <v>1914786.25159149</v>
      </c>
      <c r="N107" s="81">
        <f t="shared" si="22"/>
        <v>2010606.2859751652</v>
      </c>
      <c r="O107" s="81">
        <f t="shared" si="22"/>
        <v>2109300.9213903504</v>
      </c>
      <c r="P107" s="81">
        <f t="shared" si="22"/>
        <v>2210956.395867991</v>
      </c>
      <c r="Q107" s="81">
        <f t="shared" si="22"/>
        <v>2315661.5345799606</v>
      </c>
      <c r="R107" s="81">
        <f t="shared" si="22"/>
        <v>2423507.8274532896</v>
      </c>
      <c r="S107" s="81">
        <f t="shared" si="22"/>
        <v>2534589.509112818</v>
      </c>
      <c r="T107" s="81">
        <f t="shared" si="22"/>
        <v>2649003.6412221333</v>
      </c>
      <c r="U107" s="81">
        <f t="shared" si="22"/>
        <v>2766850.1972947274</v>
      </c>
      <c r="V107" s="81">
        <f t="shared" si="22"/>
        <v>2888232.1500494997</v>
      </c>
      <c r="W107" s="81">
        <f t="shared" si="22"/>
        <v>3013255.5613869145</v>
      </c>
      <c r="X107" s="81">
        <f t="shared" si="22"/>
        <v>3142029.6750644525</v>
      </c>
      <c r="Y107" s="81">
        <f t="shared" si="22"/>
        <v>3274667.0121523156</v>
      </c>
      <c r="Z107" s="81">
        <f t="shared" si="22"/>
        <v>3411283.469352815</v>
      </c>
      <c r="AA107" s="81">
        <f t="shared" si="22"/>
        <v>3551998.4202693296</v>
      </c>
      <c r="AB107" s="81">
        <f t="shared" si="22"/>
        <v>3696934.8197133397</v>
      </c>
      <c r="AC107" s="81">
        <f t="shared" si="22"/>
        <v>3846219.311140669</v>
      </c>
      <c r="AD107" s="81">
        <f t="shared" si="22"/>
        <v>3999982.3373108194</v>
      </c>
      <c r="AE107" s="81">
        <f t="shared" si="22"/>
        <v>5437573.1487970725</v>
      </c>
      <c r="AF107" s="81">
        <f t="shared" si="22"/>
        <v>5600700.343260985</v>
      </c>
    </row>
    <row r="108" spans="1:32" ht="12.75">
      <c r="A108" s="77"/>
      <c r="B108" s="119"/>
      <c r="C108" s="95"/>
      <c r="D108" s="95"/>
      <c r="E108" s="95"/>
      <c r="F108" s="95"/>
      <c r="G108" s="95"/>
      <c r="H108" s="9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</row>
    <row r="109" spans="1:32" ht="12.75">
      <c r="A109" s="77"/>
      <c r="B109" s="119" t="s">
        <v>140</v>
      </c>
      <c r="C109" s="95"/>
      <c r="D109" s="95"/>
      <c r="E109" s="95"/>
      <c r="F109" s="95"/>
      <c r="G109" s="95"/>
      <c r="H109" s="95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</row>
    <row r="110" spans="1:32" ht="12.75">
      <c r="A110" s="77"/>
      <c r="B110" s="119"/>
      <c r="C110" s="95"/>
      <c r="D110" s="95"/>
      <c r="E110" s="95"/>
      <c r="F110" s="95"/>
      <c r="G110" s="95"/>
      <c r="H110" s="95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</row>
    <row r="111" spans="1:32" ht="12.75">
      <c r="A111" s="77"/>
      <c r="B111" s="122" t="s">
        <v>141</v>
      </c>
      <c r="C111" s="95">
        <f>'[1]Current Parking Net'!$F$44*(1+0.03)^('[1]Revised Summary'!C99-2004)</f>
        <v>570403.494</v>
      </c>
      <c r="D111" s="95">
        <f>'[1]Current Parking Net'!$F$44*(1+0.03)^('[1]Revised Summary'!D99-2004)</f>
        <v>587515.59882</v>
      </c>
      <c r="E111" s="95">
        <f>'[1]Current Parking Net'!$F$44*(1+0.03)^('[1]Revised Summary'!E99-2004)</f>
        <v>605141.0667845999</v>
      </c>
      <c r="F111" s="95">
        <f>'[1]Current Parking Net'!$F$44*(1+0.03)^('[1]Revised Summary'!F99-2004)</f>
        <v>623295.298788138</v>
      </c>
      <c r="G111" s="95">
        <f>'[1]Current Parking Net'!$F$44*(1+0.03)^('[1]Revised Summary'!G99-2004)</f>
        <v>641994.1577517821</v>
      </c>
      <c r="H111" s="95">
        <f>'[1]Current Parking Net'!$F$44*(1+0.03)^('[1]Revised Summary'!H99-2004)</f>
        <v>661253.9824843355</v>
      </c>
      <c r="I111" s="96">
        <f>'[1]Current Parking Net'!$F$44*(1+0.03)^('[1]Revised Summary'!I99-2004)</f>
        <v>681091.6019588656</v>
      </c>
      <c r="J111" s="96">
        <f>'[1]Current Parking Net'!$F$44*(1+0.03)^('[1]Revised Summary'!J99-2004)</f>
        <v>701524.3500176315</v>
      </c>
      <c r="K111" s="96">
        <f>'[1]Current Parking Net'!$F$44*(1+0.03)^('[1]Revised Summary'!K99-2004)</f>
        <v>722570.0805181606</v>
      </c>
      <c r="L111" s="96">
        <f>'[1]Current Parking Net'!$F$44*(1+0.03)^('[1]Revised Summary'!L99-2004)</f>
        <v>744247.1829337053</v>
      </c>
      <c r="M111" s="96">
        <f>'[1]Current Parking Net'!$F$44*(1+0.03)^('[1]Revised Summary'!M99-2004)</f>
        <v>766574.5984217164</v>
      </c>
      <c r="N111" s="96">
        <f>'[1]Current Parking Net'!$F$44*(1+0.03)^('[1]Revised Summary'!N99-2004)</f>
        <v>789571.8363743679</v>
      </c>
      <c r="O111" s="96">
        <f>'[1]Current Parking Net'!$F$44*(1+0.03)^('[1]Revised Summary'!O99-2004)</f>
        <v>813258.991465599</v>
      </c>
      <c r="P111" s="96">
        <f>'[1]Current Parking Net'!$F$44*(1+0.03)^('[1]Revised Summary'!P99-2004)</f>
        <v>837656.7612095668</v>
      </c>
      <c r="Q111" s="96">
        <f>'[1]Current Parking Net'!$F$44*(1+0.03)^('[1]Revised Summary'!Q99-2004)</f>
        <v>862786.4640458538</v>
      </c>
      <c r="R111" s="96">
        <f>'[1]Current Parking Net'!$F$44*(1+0.03)^('[1]Revised Summary'!R99-2004)</f>
        <v>888670.0579672295</v>
      </c>
      <c r="S111" s="96">
        <f>'[1]Current Parking Net'!$F$44*(1+0.03)^('[1]Revised Summary'!S99-2004)</f>
        <v>915330.1597062463</v>
      </c>
      <c r="T111" s="96">
        <f>'[1]Current Parking Net'!$F$44*(1+0.03)^('[1]Revised Summary'!T99-2004)</f>
        <v>942790.0644974337</v>
      </c>
      <c r="U111" s="96">
        <f>'[1]Current Parking Net'!$F$44*(1+0.03)^('[1]Revised Summary'!U99-2004)</f>
        <v>971073.7664323566</v>
      </c>
      <c r="V111" s="96">
        <f>'[1]Current Parking Net'!$F$44*(1+0.03)^('[1]Revised Summary'!V99-2004)</f>
        <v>1000205.9794253274</v>
      </c>
      <c r="W111" s="96">
        <f>'[1]Current Parking Net'!$F$44*(1+0.03)^('[1]Revised Summary'!W99-2004)</f>
        <v>1030212.1588080872</v>
      </c>
      <c r="X111" s="96">
        <f>'[1]Current Parking Net'!$F$44*(1+0.03)^('[1]Revised Summary'!X99-2004)</f>
        <v>1061118.5235723297</v>
      </c>
      <c r="Y111" s="96">
        <f>'[1]Current Parking Net'!$F$44*(1+0.03)^('[1]Revised Summary'!Y99-2004)</f>
        <v>1092952.0792794996</v>
      </c>
      <c r="Z111" s="96">
        <f>'[1]Current Parking Net'!$F$44*(1+0.03)^('[1]Revised Summary'!Z99-2004)</f>
        <v>1125740.6416578847</v>
      </c>
      <c r="AA111" s="96">
        <f>'[1]Current Parking Net'!$F$44*(1+0.03)^('[1]Revised Summary'!AA99-2004)</f>
        <v>1159512.8609076212</v>
      </c>
      <c r="AB111" s="96">
        <f>'[1]Current Parking Net'!$F$44*(1+0.03)^('[1]Revised Summary'!AB99-2004)</f>
        <v>1194298.2467348499</v>
      </c>
      <c r="AC111" s="96">
        <f>'[1]Current Parking Net'!$F$44*(1+0.03)^('[1]Revised Summary'!AC99-2004)</f>
        <v>1230127.1941368952</v>
      </c>
      <c r="AD111" s="96">
        <f>'[1]Current Parking Net'!$F$44*(1+0.03)^('[1]Revised Summary'!AD99-2004)</f>
        <v>1267031.009961002</v>
      </c>
      <c r="AE111" s="96">
        <f>'[1]Current Parking Net'!$F$44*(1+0.03)^('[1]Revised Summary'!AE99-2004)</f>
        <v>1305041.9402598324</v>
      </c>
      <c r="AF111" s="96">
        <f>'[1]Current Parking Net'!$F$44*(1+0.03)^('[1]Revised Summary'!AF99-2004)</f>
        <v>1344193.198467627</v>
      </c>
    </row>
    <row r="112" spans="1:32" ht="13.5" thickBot="1">
      <c r="A112" s="77"/>
      <c r="B112" s="122" t="s">
        <v>142</v>
      </c>
      <c r="C112" s="95">
        <f>'[1]Current Parking Net'!$G$44*(1+0.03)^('[1]Revised Summary'!C99-2004)</f>
        <v>475336.245</v>
      </c>
      <c r="D112" s="95">
        <f>'[1]Current Parking Net'!$G$44*(1+0.03)^('[1]Revised Summary'!D99-2004)</f>
        <v>489596.33235</v>
      </c>
      <c r="E112" s="95">
        <f>'[1]Current Parking Net'!$G$44*(1+0.03)^('[1]Revised Summary'!E99-2004)</f>
        <v>504284.22232049995</v>
      </c>
      <c r="F112" s="95">
        <f>'[1]Current Parking Net'!$G$44*(1+0.03)^('[1]Revised Summary'!F99-2004)</f>
        <v>519412.74899011495</v>
      </c>
      <c r="G112" s="95">
        <f>'[1]Current Parking Net'!$G$44*(1+0.03)^('[1]Revised Summary'!G99-2004)</f>
        <v>534995.1314598185</v>
      </c>
      <c r="H112" s="95">
        <f>'[1]Current Parking Net'!$G$44*(1+0.03)^('[1]Revised Summary'!H99-2004)</f>
        <v>551044.985403613</v>
      </c>
      <c r="I112" s="96">
        <f>'[1]Current Parking Net'!$G$44*(1+0.03)^('[1]Revised Summary'!I99-2004)</f>
        <v>567576.3349657214</v>
      </c>
      <c r="J112" s="96">
        <f>'[1]Current Parking Net'!$G$44*(1+0.03)^('[1]Revised Summary'!J99-2004)</f>
        <v>584603.625014693</v>
      </c>
      <c r="K112" s="96">
        <f>'[1]Current Parking Net'!$G$44*(1+0.03)^('[1]Revised Summary'!K99-2004)</f>
        <v>602141.7337651338</v>
      </c>
      <c r="L112" s="96">
        <f>'[1]Current Parking Net'!$G$44*(1+0.03)^('[1]Revised Summary'!L99-2004)</f>
        <v>620205.9857780878</v>
      </c>
      <c r="M112" s="96">
        <f>'[1]Current Parking Net'!$G$44*(1+0.03)^('[1]Revised Summary'!M99-2004)</f>
        <v>638812.1653514303</v>
      </c>
      <c r="N112" s="96">
        <f>'[1]Current Parking Net'!$G$44*(1+0.03)^('[1]Revised Summary'!N99-2004)</f>
        <v>657976.5303119733</v>
      </c>
      <c r="O112" s="96">
        <f>'[1]Current Parking Net'!$G$44*(1+0.03)^('[1]Revised Summary'!O99-2004)</f>
        <v>677715.8262213325</v>
      </c>
      <c r="P112" s="96">
        <f>'[1]Current Parking Net'!$G$44*(1+0.03)^('[1]Revised Summary'!P99-2004)</f>
        <v>698047.3010079723</v>
      </c>
      <c r="Q112" s="96">
        <f>'[1]Current Parking Net'!$G$44*(1+0.03)^('[1]Revised Summary'!Q99-2004)</f>
        <v>718988.7200382116</v>
      </c>
      <c r="R112" s="96">
        <f>'[1]Current Parking Net'!$G$44*(1+0.03)^('[1]Revised Summary'!R99-2004)</f>
        <v>740558.3816393579</v>
      </c>
      <c r="S112" s="96">
        <f>'[1]Current Parking Net'!$G$44*(1+0.03)^('[1]Revised Summary'!S99-2004)</f>
        <v>762775.1330885387</v>
      </c>
      <c r="T112" s="96">
        <f>'[1]Current Parking Net'!$G$44*(1+0.03)^('[1]Revised Summary'!T99-2004)</f>
        <v>785658.3870811948</v>
      </c>
      <c r="U112" s="96">
        <f>'[1]Current Parking Net'!$G$44*(1+0.03)^('[1]Revised Summary'!U99-2004)</f>
        <v>809228.1386936305</v>
      </c>
      <c r="V112" s="96">
        <f>'[1]Current Parking Net'!$G$44*(1+0.03)^('[1]Revised Summary'!V99-2004)</f>
        <v>833504.9828544395</v>
      </c>
      <c r="W112" s="96">
        <f>'[1]Current Parking Net'!$G$44*(1+0.03)^('[1]Revised Summary'!W99-2004)</f>
        <v>858510.1323400728</v>
      </c>
      <c r="X112" s="96">
        <f>'[1]Current Parking Net'!$G$44*(1+0.03)^('[1]Revised Summary'!X99-2004)</f>
        <v>884265.4363102748</v>
      </c>
      <c r="Y112" s="96">
        <f>'[1]Current Parking Net'!$G$44*(1+0.03)^('[1]Revised Summary'!Y99-2004)</f>
        <v>910793.399399583</v>
      </c>
      <c r="Z112" s="96">
        <f>'[1]Current Parking Net'!$G$44*(1+0.03)^('[1]Revised Summary'!Z99-2004)</f>
        <v>938117.2013815707</v>
      </c>
      <c r="AA112" s="96">
        <f>'[1]Current Parking Net'!$G$44*(1+0.03)^('[1]Revised Summary'!AA99-2004)</f>
        <v>966260.7174230176</v>
      </c>
      <c r="AB112" s="96">
        <f>'[1]Current Parking Net'!$G$44*(1+0.03)^('[1]Revised Summary'!AB99-2004)</f>
        <v>995248.5389457082</v>
      </c>
      <c r="AC112" s="96">
        <f>'[1]Current Parking Net'!$G$44*(1+0.03)^('[1]Revised Summary'!AC99-2004)</f>
        <v>1025105.9951140793</v>
      </c>
      <c r="AD112" s="96">
        <f>'[1]Current Parking Net'!$G$44*(1+0.03)^('[1]Revised Summary'!AD99-2004)</f>
        <v>1055859.1749675018</v>
      </c>
      <c r="AE112" s="96">
        <f>'[1]Current Parking Net'!$G$44*(1+0.03)^('[1]Revised Summary'!AE99-2004)</f>
        <v>1087534.9502165269</v>
      </c>
      <c r="AF112" s="96">
        <f>'[1]Current Parking Net'!$G$44*(1+0.03)^('[1]Revised Summary'!AF99-2004)</f>
        <v>1120160.9987230224</v>
      </c>
    </row>
    <row r="113" spans="1:32" ht="13.5" thickBot="1">
      <c r="A113" s="120">
        <f>ROUND(NPV($C$26,C113:AD113),-5)</f>
        <v>15400000</v>
      </c>
      <c r="B113" s="119" t="s">
        <v>143</v>
      </c>
      <c r="C113" s="80">
        <f>SUM(C111:C112)</f>
        <v>1045739.739</v>
      </c>
      <c r="D113" s="80">
        <f>SUM(D111:D112)</f>
        <v>1077111.93117</v>
      </c>
      <c r="E113" s="80">
        <f aca="true" t="shared" si="23" ref="E113:AF113">SUM(E111:E112)</f>
        <v>1109425.2891050999</v>
      </c>
      <c r="F113" s="80">
        <f t="shared" si="23"/>
        <v>1142708.047778253</v>
      </c>
      <c r="G113" s="80">
        <f t="shared" si="23"/>
        <v>1176989.2892116006</v>
      </c>
      <c r="H113" s="80">
        <f t="shared" si="23"/>
        <v>1212298.9678879485</v>
      </c>
      <c r="I113" s="81">
        <f t="shared" si="23"/>
        <v>1248667.936924587</v>
      </c>
      <c r="J113" s="81">
        <f t="shared" si="23"/>
        <v>1286127.9750323244</v>
      </c>
      <c r="K113" s="81">
        <f t="shared" si="23"/>
        <v>1324711.8142832944</v>
      </c>
      <c r="L113" s="81">
        <f t="shared" si="23"/>
        <v>1364453.1687117931</v>
      </c>
      <c r="M113" s="81">
        <f t="shared" si="23"/>
        <v>1405386.7637731466</v>
      </c>
      <c r="N113" s="81">
        <f t="shared" si="23"/>
        <v>1447548.3666863414</v>
      </c>
      <c r="O113" s="81">
        <f t="shared" si="23"/>
        <v>1490974.8176869317</v>
      </c>
      <c r="P113" s="81">
        <f t="shared" si="23"/>
        <v>1535704.0622175392</v>
      </c>
      <c r="Q113" s="81">
        <f t="shared" si="23"/>
        <v>1581775.1840840653</v>
      </c>
      <c r="R113" s="81">
        <f t="shared" si="23"/>
        <v>1629228.4396065874</v>
      </c>
      <c r="S113" s="81">
        <f t="shared" si="23"/>
        <v>1678105.292794785</v>
      </c>
      <c r="T113" s="81">
        <f t="shared" si="23"/>
        <v>1728448.4515786285</v>
      </c>
      <c r="U113" s="81">
        <f t="shared" si="23"/>
        <v>1780301.905125987</v>
      </c>
      <c r="V113" s="81">
        <f t="shared" si="23"/>
        <v>1833710.9622797668</v>
      </c>
      <c r="W113" s="81">
        <f t="shared" si="23"/>
        <v>1888722.2911481601</v>
      </c>
      <c r="X113" s="81">
        <f t="shared" si="23"/>
        <v>1945383.9598826044</v>
      </c>
      <c r="Y113" s="81">
        <f t="shared" si="23"/>
        <v>2003745.4786790826</v>
      </c>
      <c r="Z113" s="81">
        <f t="shared" si="23"/>
        <v>2063857.8430394554</v>
      </c>
      <c r="AA113" s="81">
        <f t="shared" si="23"/>
        <v>2125773.578330639</v>
      </c>
      <c r="AB113" s="81">
        <f t="shared" si="23"/>
        <v>2189546.785680558</v>
      </c>
      <c r="AC113" s="81">
        <f t="shared" si="23"/>
        <v>2255233.1892509745</v>
      </c>
      <c r="AD113" s="81">
        <f t="shared" si="23"/>
        <v>2322890.184928504</v>
      </c>
      <c r="AE113" s="81">
        <f t="shared" si="23"/>
        <v>2392576.890476359</v>
      </c>
      <c r="AF113" s="81">
        <f t="shared" si="23"/>
        <v>2464354.1971906493</v>
      </c>
    </row>
    <row r="114" spans="1:32" ht="13.5" thickBot="1">
      <c r="A114" s="77"/>
      <c r="B114" s="119"/>
      <c r="C114" s="95"/>
      <c r="D114" s="95"/>
      <c r="E114" s="95"/>
      <c r="F114" s="95"/>
      <c r="G114" s="95"/>
      <c r="H114" s="95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</row>
    <row r="115" spans="1:32" ht="13.5" thickBot="1">
      <c r="A115" s="120">
        <f>ROUND(NPV($C$26,C115:AD115),-5)</f>
        <v>5400000</v>
      </c>
      <c r="B115" s="119" t="s">
        <v>144</v>
      </c>
      <c r="C115" s="95">
        <f>C107-C113</f>
        <v>-14571.682732508867</v>
      </c>
      <c r="D115" s="95">
        <f aca="true" t="shared" si="24" ref="D115:AF115">D107-D113</f>
        <v>91609.09581199777</v>
      </c>
      <c r="E115" s="95">
        <f t="shared" si="24"/>
        <v>132733.81552228774</v>
      </c>
      <c r="F115" s="95">
        <f t="shared" si="24"/>
        <v>175092.2768238862</v>
      </c>
      <c r="G115" s="95">
        <f t="shared" si="24"/>
        <v>218721.491964533</v>
      </c>
      <c r="H115" s="95">
        <f t="shared" si="24"/>
        <v>263659.5835593988</v>
      </c>
      <c r="I115" s="96">
        <f t="shared" si="24"/>
        <v>309945.817902111</v>
      </c>
      <c r="J115" s="96">
        <f t="shared" si="24"/>
        <v>357620.63927510474</v>
      </c>
      <c r="K115" s="96">
        <f t="shared" si="24"/>
        <v>406725.7052892877</v>
      </c>
      <c r="L115" s="96">
        <f t="shared" si="24"/>
        <v>457303.9232838964</v>
      </c>
      <c r="M115" s="96">
        <f t="shared" si="24"/>
        <v>509399.48781834356</v>
      </c>
      <c r="N115" s="96">
        <f t="shared" si="24"/>
        <v>563057.9192888238</v>
      </c>
      <c r="O115" s="96">
        <f t="shared" si="24"/>
        <v>618326.1037034187</v>
      </c>
      <c r="P115" s="96">
        <f t="shared" si="24"/>
        <v>675252.3336504516</v>
      </c>
      <c r="Q115" s="96">
        <f t="shared" si="24"/>
        <v>733886.3504958954</v>
      </c>
      <c r="R115" s="96">
        <f t="shared" si="24"/>
        <v>794279.3878467022</v>
      </c>
      <c r="S115" s="96">
        <f t="shared" si="24"/>
        <v>856484.2163180332</v>
      </c>
      <c r="T115" s="96">
        <f t="shared" si="24"/>
        <v>920555.1896435048</v>
      </c>
      <c r="U115" s="96">
        <f t="shared" si="24"/>
        <v>986548.2921687404</v>
      </c>
      <c r="V115" s="96">
        <f t="shared" si="24"/>
        <v>1054521.187769733</v>
      </c>
      <c r="W115" s="96">
        <f t="shared" si="24"/>
        <v>1124533.2702387543</v>
      </c>
      <c r="X115" s="96">
        <f t="shared" si="24"/>
        <v>1196645.715181848</v>
      </c>
      <c r="Y115" s="96">
        <f t="shared" si="24"/>
        <v>1270921.533473233</v>
      </c>
      <c r="Z115" s="96">
        <f t="shared" si="24"/>
        <v>1347425.6263133595</v>
      </c>
      <c r="AA115" s="96">
        <f t="shared" si="24"/>
        <v>1426224.8419386907</v>
      </c>
      <c r="AB115" s="96">
        <f t="shared" si="24"/>
        <v>1507388.0340327816</v>
      </c>
      <c r="AC115" s="96">
        <f t="shared" si="24"/>
        <v>1590986.1218896946</v>
      </c>
      <c r="AD115" s="96">
        <f t="shared" si="24"/>
        <v>1677092.1523823156</v>
      </c>
      <c r="AE115" s="96">
        <f t="shared" si="24"/>
        <v>3044996.2583207134</v>
      </c>
      <c r="AF115" s="96">
        <f t="shared" si="24"/>
        <v>3136346.1460703355</v>
      </c>
    </row>
    <row r="116" spans="1:32" ht="12.75">
      <c r="A116" s="123"/>
      <c r="B116" s="119" t="s">
        <v>145</v>
      </c>
      <c r="C116" s="95">
        <f>C115</f>
        <v>-14571.682732508867</v>
      </c>
      <c r="D116" s="95">
        <f aca="true" t="shared" si="25" ref="D116:AF116">D115+C116</f>
        <v>77037.4130794889</v>
      </c>
      <c r="E116" s="95">
        <f t="shared" si="25"/>
        <v>209771.22860177665</v>
      </c>
      <c r="F116" s="95">
        <f t="shared" si="25"/>
        <v>384863.50542566285</v>
      </c>
      <c r="G116" s="95">
        <f t="shared" si="25"/>
        <v>603584.9973901958</v>
      </c>
      <c r="H116" s="95">
        <f t="shared" si="25"/>
        <v>867244.5809495946</v>
      </c>
      <c r="I116" s="96">
        <f t="shared" si="25"/>
        <v>1177190.3988517057</v>
      </c>
      <c r="J116" s="96">
        <f t="shared" si="25"/>
        <v>1534811.0381268105</v>
      </c>
      <c r="K116" s="96">
        <f t="shared" si="25"/>
        <v>1941536.7434160982</v>
      </c>
      <c r="L116" s="96">
        <f t="shared" si="25"/>
        <v>2398840.6666999944</v>
      </c>
      <c r="M116" s="96">
        <f t="shared" si="25"/>
        <v>2908240.154518338</v>
      </c>
      <c r="N116" s="96">
        <f t="shared" si="25"/>
        <v>3471298.0738071618</v>
      </c>
      <c r="O116" s="96">
        <f t="shared" si="25"/>
        <v>4089624.1775105805</v>
      </c>
      <c r="P116" s="96">
        <f t="shared" si="25"/>
        <v>4764876.511161032</v>
      </c>
      <c r="Q116" s="96">
        <f t="shared" si="25"/>
        <v>5498762.8616569275</v>
      </c>
      <c r="R116" s="96">
        <f t="shared" si="25"/>
        <v>6293042.249503629</v>
      </c>
      <c r="S116" s="96">
        <f t="shared" si="25"/>
        <v>7149526.465821663</v>
      </c>
      <c r="T116" s="96">
        <f t="shared" si="25"/>
        <v>8070081.655465168</v>
      </c>
      <c r="U116" s="96">
        <f t="shared" si="25"/>
        <v>9056629.947633909</v>
      </c>
      <c r="V116" s="96">
        <f t="shared" si="25"/>
        <v>10111151.135403642</v>
      </c>
      <c r="W116" s="96">
        <f t="shared" si="25"/>
        <v>11235684.405642398</v>
      </c>
      <c r="X116" s="96">
        <f t="shared" si="25"/>
        <v>12432330.120824246</v>
      </c>
      <c r="Y116" s="96">
        <f t="shared" si="25"/>
        <v>13703251.654297478</v>
      </c>
      <c r="Z116" s="96">
        <f t="shared" si="25"/>
        <v>15050677.280610837</v>
      </c>
      <c r="AA116" s="96">
        <f t="shared" si="25"/>
        <v>16476902.122549528</v>
      </c>
      <c r="AB116" s="96">
        <f t="shared" si="25"/>
        <v>17984290.15658231</v>
      </c>
      <c r="AC116" s="96">
        <f t="shared" si="25"/>
        <v>19575276.278472006</v>
      </c>
      <c r="AD116" s="96">
        <f t="shared" si="25"/>
        <v>21252368.43085432</v>
      </c>
      <c r="AE116" s="96">
        <f t="shared" si="25"/>
        <v>24297364.689175032</v>
      </c>
      <c r="AF116" s="96">
        <f t="shared" si="25"/>
        <v>27433710.835245367</v>
      </c>
    </row>
    <row r="117" spans="1:32" ht="12.75">
      <c r="A117" s="77"/>
      <c r="B117" s="119"/>
      <c r="C117" s="95"/>
      <c r="D117" s="95"/>
      <c r="E117" s="95"/>
      <c r="F117" s="95"/>
      <c r="G117" s="95"/>
      <c r="H117" s="95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</row>
    <row r="118" spans="1:32" ht="12.75" hidden="1">
      <c r="A118" s="77"/>
      <c r="B118" s="119" t="s">
        <v>146</v>
      </c>
      <c r="C118" s="32">
        <f>C104/C$102/12</f>
        <v>244.09947920825957</v>
      </c>
      <c r="D118" s="32">
        <f aca="true" t="shared" si="26" ref="D118:AF120">D104/D$102/12</f>
        <v>251.50489903154744</v>
      </c>
      <c r="E118" s="32">
        <f t="shared" si="26"/>
        <v>259.05004600249384</v>
      </c>
      <c r="F118" s="32">
        <f t="shared" si="26"/>
        <v>266.8215473825687</v>
      </c>
      <c r="G118" s="32">
        <f t="shared" si="26"/>
        <v>274.8261938040458</v>
      </c>
      <c r="H118" s="32">
        <f t="shared" si="26"/>
        <v>283.07097961816714</v>
      </c>
      <c r="I118" s="34">
        <f t="shared" si="26"/>
        <v>291.5631090067122</v>
      </c>
      <c r="J118" s="34">
        <f t="shared" si="26"/>
        <v>300.31000227691356</v>
      </c>
      <c r="K118" s="34">
        <f t="shared" si="26"/>
        <v>309.319302345221</v>
      </c>
      <c r="L118" s="34">
        <f t="shared" si="26"/>
        <v>318.59888141557764</v>
      </c>
      <c r="M118" s="34">
        <f t="shared" si="26"/>
        <v>328.15684785804496</v>
      </c>
      <c r="N118" s="34">
        <f t="shared" si="26"/>
        <v>338.00155329378634</v>
      </c>
      <c r="O118" s="34">
        <f t="shared" si="26"/>
        <v>348.14159989259997</v>
      </c>
      <c r="P118" s="34">
        <f t="shared" si="26"/>
        <v>358.58584788937793</v>
      </c>
      <c r="Q118" s="34">
        <f t="shared" si="26"/>
        <v>369.3434233260593</v>
      </c>
      <c r="R118" s="34">
        <f t="shared" si="26"/>
        <v>380.4237260258412</v>
      </c>
      <c r="S118" s="34">
        <f t="shared" si="26"/>
        <v>391.8364378066164</v>
      </c>
      <c r="T118" s="34">
        <f t="shared" si="26"/>
        <v>403.5915309408149</v>
      </c>
      <c r="U118" s="34">
        <f t="shared" si="26"/>
        <v>415.6992768690393</v>
      </c>
      <c r="V118" s="34">
        <f t="shared" si="26"/>
        <v>428.1702551751105</v>
      </c>
      <c r="W118" s="34">
        <f t="shared" si="26"/>
        <v>441.0153628303639</v>
      </c>
      <c r="X118" s="34">
        <f t="shared" si="26"/>
        <v>454.2458237152748</v>
      </c>
      <c r="Y118" s="34">
        <f t="shared" si="26"/>
        <v>467.8731984267331</v>
      </c>
      <c r="Z118" s="34">
        <f t="shared" si="26"/>
        <v>481.90939437953506</v>
      </c>
      <c r="AA118" s="34">
        <f t="shared" si="26"/>
        <v>496.36667621092107</v>
      </c>
      <c r="AB118" s="34">
        <f t="shared" si="26"/>
        <v>511.2576764972487</v>
      </c>
      <c r="AC118" s="34">
        <f t="shared" si="26"/>
        <v>526.5954067921663</v>
      </c>
      <c r="AD118" s="34">
        <f t="shared" si="26"/>
        <v>542.3932689959312</v>
      </c>
      <c r="AE118" s="34">
        <f t="shared" si="26"/>
        <v>558.6650670658092</v>
      </c>
      <c r="AF118" s="34">
        <f t="shared" si="26"/>
        <v>575.4250190777835</v>
      </c>
    </row>
    <row r="119" spans="1:32" ht="12.75" hidden="1">
      <c r="A119" s="77"/>
      <c r="B119" s="119" t="s">
        <v>147</v>
      </c>
      <c r="C119" s="32">
        <f aca="true" t="shared" si="27" ref="C119:R120">C105/C$102/12</f>
        <v>29.698685704316603</v>
      </c>
      <c r="D119" s="32">
        <f t="shared" si="27"/>
        <v>30.012325604747257</v>
      </c>
      <c r="E119" s="32">
        <f t="shared" si="27"/>
        <v>30.912695372889672</v>
      </c>
      <c r="F119" s="32">
        <f t="shared" si="27"/>
        <v>31.840076234076363</v>
      </c>
      <c r="G119" s="32">
        <f t="shared" si="27"/>
        <v>32.79527852109865</v>
      </c>
      <c r="H119" s="32">
        <f t="shared" si="27"/>
        <v>33.77913687673161</v>
      </c>
      <c r="I119" s="34">
        <f t="shared" si="27"/>
        <v>34.79251098303356</v>
      </c>
      <c r="J119" s="34">
        <f t="shared" si="27"/>
        <v>35.83628631252457</v>
      </c>
      <c r="K119" s="34">
        <f t="shared" si="27"/>
        <v>36.91137490190031</v>
      </c>
      <c r="L119" s="34">
        <f t="shared" si="27"/>
        <v>38.018716148957324</v>
      </c>
      <c r="M119" s="34">
        <f t="shared" si="27"/>
        <v>39.15927763342604</v>
      </c>
      <c r="N119" s="34">
        <f t="shared" si="27"/>
        <v>40.33405596242883</v>
      </c>
      <c r="O119" s="34">
        <f t="shared" si="27"/>
        <v>41.54407764130169</v>
      </c>
      <c r="P119" s="34">
        <f t="shared" si="27"/>
        <v>42.79039997054074</v>
      </c>
      <c r="Q119" s="34">
        <f t="shared" si="27"/>
        <v>44.07411196965696</v>
      </c>
      <c r="R119" s="34">
        <f t="shared" si="27"/>
        <v>45.396335328746666</v>
      </c>
      <c r="S119" s="34">
        <f t="shared" si="26"/>
        <v>46.75822538860908</v>
      </c>
      <c r="T119" s="34">
        <f t="shared" si="26"/>
        <v>48.16097215026735</v>
      </c>
      <c r="U119" s="34">
        <f t="shared" si="26"/>
        <v>49.60580131477536</v>
      </c>
      <c r="V119" s="34">
        <f t="shared" si="26"/>
        <v>51.09397535421863</v>
      </c>
      <c r="W119" s="34">
        <f t="shared" si="26"/>
        <v>52.62679461484519</v>
      </c>
      <c r="X119" s="34">
        <f t="shared" si="26"/>
        <v>54.20559845329055</v>
      </c>
      <c r="Y119" s="34">
        <f t="shared" si="26"/>
        <v>55.831766406889265</v>
      </c>
      <c r="Z119" s="34">
        <f t="shared" si="26"/>
        <v>57.50671939909594</v>
      </c>
      <c r="AA119" s="34">
        <f t="shared" si="26"/>
        <v>59.23192098106883</v>
      </c>
      <c r="AB119" s="34">
        <f t="shared" si="26"/>
        <v>61.008878610500894</v>
      </c>
      <c r="AC119" s="34">
        <f t="shared" si="26"/>
        <v>62.83914496881592</v>
      </c>
      <c r="AD119" s="34">
        <f t="shared" si="26"/>
        <v>64.7243193178804</v>
      </c>
      <c r="AE119" s="34">
        <f t="shared" si="26"/>
        <v>66.66604889741681</v>
      </c>
      <c r="AF119" s="34">
        <f t="shared" si="26"/>
        <v>68.66603036433932</v>
      </c>
    </row>
    <row r="120" spans="1:32" ht="12.75" hidden="1">
      <c r="A120" s="77"/>
      <c r="B120" s="119" t="s">
        <v>148</v>
      </c>
      <c r="C120" s="32">
        <f t="shared" si="27"/>
        <v>214.40079350394294</v>
      </c>
      <c r="D120" s="32">
        <f t="shared" si="26"/>
        <v>221.4925734268002</v>
      </c>
      <c r="E120" s="32">
        <f t="shared" si="26"/>
        <v>228.13735062960419</v>
      </c>
      <c r="F120" s="32">
        <f t="shared" si="26"/>
        <v>234.98147114849235</v>
      </c>
      <c r="G120" s="32">
        <f t="shared" si="26"/>
        <v>242.03091528294712</v>
      </c>
      <c r="H120" s="32">
        <f t="shared" si="26"/>
        <v>249.29184274143552</v>
      </c>
      <c r="I120" s="34">
        <f t="shared" si="26"/>
        <v>256.7705980236786</v>
      </c>
      <c r="J120" s="34">
        <f t="shared" si="26"/>
        <v>264.473715964389</v>
      </c>
      <c r="K120" s="34">
        <f t="shared" si="26"/>
        <v>272.4079274433207</v>
      </c>
      <c r="L120" s="34">
        <f t="shared" si="26"/>
        <v>280.5801652666203</v>
      </c>
      <c r="M120" s="34">
        <f t="shared" si="26"/>
        <v>288.9975702246189</v>
      </c>
      <c r="N120" s="34">
        <f t="shared" si="26"/>
        <v>297.66749733135754</v>
      </c>
      <c r="O120" s="34">
        <f t="shared" si="26"/>
        <v>306.59752225129824</v>
      </c>
      <c r="P120" s="34">
        <f t="shared" si="26"/>
        <v>315.7954479188372</v>
      </c>
      <c r="Q120" s="34">
        <f t="shared" si="26"/>
        <v>325.26931135640234</v>
      </c>
      <c r="R120" s="34">
        <f t="shared" si="26"/>
        <v>335.0273906970944</v>
      </c>
      <c r="S120" s="34">
        <f t="shared" si="26"/>
        <v>345.0782124180073</v>
      </c>
      <c r="T120" s="34">
        <f t="shared" si="26"/>
        <v>355.43055879054754</v>
      </c>
      <c r="U120" s="34">
        <f t="shared" si="26"/>
        <v>366.093475554264</v>
      </c>
      <c r="V120" s="34">
        <f t="shared" si="26"/>
        <v>377.0762798208919</v>
      </c>
      <c r="W120" s="34">
        <f t="shared" si="26"/>
        <v>388.3885682155187</v>
      </c>
      <c r="X120" s="34">
        <f t="shared" si="26"/>
        <v>400.0402252619843</v>
      </c>
      <c r="Y120" s="34">
        <f t="shared" si="26"/>
        <v>412.0414320198438</v>
      </c>
      <c r="Z120" s="34">
        <f t="shared" si="26"/>
        <v>424.4026749804391</v>
      </c>
      <c r="AA120" s="34">
        <f t="shared" si="26"/>
        <v>437.1347552298523</v>
      </c>
      <c r="AB120" s="34">
        <f t="shared" si="26"/>
        <v>450.2487978867479</v>
      </c>
      <c r="AC120" s="34">
        <f t="shared" si="26"/>
        <v>463.75626182335026</v>
      </c>
      <c r="AD120" s="34">
        <f t="shared" si="26"/>
        <v>477.66894967805075</v>
      </c>
      <c r="AE120" s="34">
        <f t="shared" si="26"/>
        <v>491.9990181683924</v>
      </c>
      <c r="AF120" s="34">
        <f t="shared" si="26"/>
        <v>506.7589887134441</v>
      </c>
    </row>
    <row r="121" spans="1:32" ht="12.75" hidden="1">
      <c r="A121" s="77"/>
      <c r="B121" s="26"/>
      <c r="C121" s="32"/>
      <c r="D121" s="32"/>
      <c r="E121" s="32"/>
      <c r="F121" s="32"/>
      <c r="G121" s="32"/>
      <c r="H121" s="32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12.75" hidden="1">
      <c r="A122" s="25"/>
      <c r="B122" s="124" t="s">
        <v>149</v>
      </c>
      <c r="C122" s="32">
        <f>C120-(C115/C$102/12)</f>
        <v>215.7530283529137</v>
      </c>
      <c r="D122" s="32">
        <f>D120-(D115/D$102/12)</f>
        <v>213.2036577724392</v>
      </c>
      <c r="E122" s="32">
        <f aca="true" t="shared" si="28" ref="E122:AF122">E120-(E115/E$102/12)</f>
        <v>216.12741437170627</v>
      </c>
      <c r="F122" s="32">
        <f t="shared" si="28"/>
        <v>219.13888366895142</v>
      </c>
      <c r="G122" s="32">
        <f t="shared" si="28"/>
        <v>222.24069704511388</v>
      </c>
      <c r="H122" s="32">
        <f t="shared" si="28"/>
        <v>225.43556482256122</v>
      </c>
      <c r="I122" s="34">
        <f t="shared" si="28"/>
        <v>228.72627863333196</v>
      </c>
      <c r="J122" s="34">
        <f t="shared" si="28"/>
        <v>232.11571385842583</v>
      </c>
      <c r="K122" s="34">
        <f t="shared" si="28"/>
        <v>235.60683214027262</v>
      </c>
      <c r="L122" s="34">
        <f t="shared" si="28"/>
        <v>239.2026839705747</v>
      </c>
      <c r="M122" s="34">
        <f t="shared" si="28"/>
        <v>242.90641135578582</v>
      </c>
      <c r="N122" s="34">
        <f t="shared" si="28"/>
        <v>246.72125056255337</v>
      </c>
      <c r="O122" s="34">
        <f t="shared" si="28"/>
        <v>250.65053494552384</v>
      </c>
      <c r="P122" s="34">
        <f t="shared" si="28"/>
        <v>254.6976978599835</v>
      </c>
      <c r="Q122" s="34">
        <f t="shared" si="28"/>
        <v>258.8662756618769</v>
      </c>
      <c r="R122" s="34">
        <f t="shared" si="28"/>
        <v>263.1599107978271</v>
      </c>
      <c r="S122" s="34">
        <f t="shared" si="28"/>
        <v>267.5823549878559</v>
      </c>
      <c r="T122" s="34">
        <f t="shared" si="28"/>
        <v>272.13747250358546</v>
      </c>
      <c r="U122" s="34">
        <f t="shared" si="28"/>
        <v>276.82924354478695</v>
      </c>
      <c r="V122" s="34">
        <f t="shared" si="28"/>
        <v>281.66176771722445</v>
      </c>
      <c r="W122" s="34">
        <f t="shared" si="28"/>
        <v>286.6392676148352</v>
      </c>
      <c r="X122" s="34">
        <f t="shared" si="28"/>
        <v>291.76609250937406</v>
      </c>
      <c r="Y122" s="34">
        <f t="shared" si="28"/>
        <v>297.04672215074925</v>
      </c>
      <c r="Z122" s="34">
        <f t="shared" si="28"/>
        <v>302.48577068136564</v>
      </c>
      <c r="AA122" s="34">
        <f t="shared" si="28"/>
        <v>308.0879906679006</v>
      </c>
      <c r="AB122" s="34">
        <f t="shared" si="28"/>
        <v>313.8582772540315</v>
      </c>
      <c r="AC122" s="34">
        <f t="shared" si="28"/>
        <v>319.80167243774633</v>
      </c>
      <c r="AD122" s="34">
        <f t="shared" si="28"/>
        <v>325.92336947697265</v>
      </c>
      <c r="AE122" s="34">
        <f t="shared" si="28"/>
        <v>216.48361296383996</v>
      </c>
      <c r="AF122" s="34">
        <f t="shared" si="28"/>
        <v>222.97812135275507</v>
      </c>
    </row>
    <row r="123" spans="1:32" ht="12.75" hidden="1">
      <c r="A123" s="25"/>
      <c r="B123" s="124" t="s">
        <v>150</v>
      </c>
      <c r="C123" s="32">
        <f>C122/(1+0.03)^(C99-2004)</f>
        <v>197.44458437735472</v>
      </c>
      <c r="D123" s="32">
        <f>D122/(1+0.03)^(D99-2004)</f>
        <v>189.42868849906134</v>
      </c>
      <c r="E123" s="32">
        <f>E122/(1+0.03)^(E99-2004)</f>
        <v>186.43340618327005</v>
      </c>
      <c r="F123" s="32">
        <f aca="true" t="shared" si="29" ref="F123:AF123">F122/(1+0.03)^(F99-2004)</f>
        <v>183.5253650999776</v>
      </c>
      <c r="G123" s="32">
        <f t="shared" si="29"/>
        <v>180.70202424241205</v>
      </c>
      <c r="H123" s="32">
        <f t="shared" si="29"/>
        <v>177.9609166137077</v>
      </c>
      <c r="I123" s="34">
        <f t="shared" si="29"/>
        <v>175.2996470712762</v>
      </c>
      <c r="J123" s="34">
        <f t="shared" si="29"/>
        <v>172.71589023396413</v>
      </c>
      <c r="K123" s="34">
        <f t="shared" si="29"/>
        <v>170.20738845016604</v>
      </c>
      <c r="L123" s="34">
        <f t="shared" si="29"/>
        <v>167.77194982511932</v>
      </c>
      <c r="M123" s="34">
        <f t="shared" si="29"/>
        <v>165.40744630565644</v>
      </c>
      <c r="N123" s="34">
        <f t="shared" si="29"/>
        <v>163.11181182074105</v>
      </c>
      <c r="O123" s="34">
        <f t="shared" si="29"/>
        <v>160.88304047616296</v>
      </c>
      <c r="P123" s="34">
        <f t="shared" si="29"/>
        <v>158.71918480181537</v>
      </c>
      <c r="Q123" s="34">
        <f t="shared" si="29"/>
        <v>156.61835405002157</v>
      </c>
      <c r="R123" s="34">
        <f t="shared" si="29"/>
        <v>154.5787125434256</v>
      </c>
      <c r="S123" s="34">
        <f t="shared" si="29"/>
        <v>152.59847807100243</v>
      </c>
      <c r="T123" s="34">
        <f t="shared" si="29"/>
        <v>150.67592033078566</v>
      </c>
      <c r="U123" s="34">
        <f t="shared" si="29"/>
        <v>148.8093594179539</v>
      </c>
      <c r="V123" s="34">
        <f t="shared" si="29"/>
        <v>146.99716435695217</v>
      </c>
      <c r="W123" s="34">
        <f t="shared" si="29"/>
        <v>145.237751676368</v>
      </c>
      <c r="X123" s="34">
        <f t="shared" si="29"/>
        <v>143.52958402531533</v>
      </c>
      <c r="Y123" s="34">
        <f t="shared" si="29"/>
        <v>141.87116883011865</v>
      </c>
      <c r="Z123" s="34">
        <f t="shared" si="29"/>
        <v>140.2610569901218</v>
      </c>
      <c r="AA123" s="34">
        <f t="shared" si="29"/>
        <v>138.69784161148417</v>
      </c>
      <c r="AB123" s="34">
        <f t="shared" si="29"/>
        <v>137.18015677785533</v>
      </c>
      <c r="AC123" s="34">
        <f t="shared" si="29"/>
        <v>135.70667635685646</v>
      </c>
      <c r="AD123" s="34">
        <f t="shared" si="29"/>
        <v>134.2761128413236</v>
      </c>
      <c r="AE123" s="34">
        <f t="shared" si="29"/>
        <v>86.59066232356135</v>
      </c>
      <c r="AF123" s="34">
        <f t="shared" si="29"/>
        <v>86.59066232356133</v>
      </c>
    </row>
    <row r="124" spans="1:32" ht="12.75" hidden="1">
      <c r="A124" s="25"/>
      <c r="B124" s="124"/>
      <c r="C124" s="95"/>
      <c r="D124" s="95"/>
      <c r="E124" s="95"/>
      <c r="F124" s="95"/>
      <c r="G124" s="95"/>
      <c r="H124" s="95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</row>
    <row r="125" spans="1:32" ht="12.75" hidden="1">
      <c r="A125" s="25"/>
      <c r="B125" s="124"/>
      <c r="C125" s="95"/>
      <c r="D125" s="95"/>
      <c r="E125" s="95"/>
      <c r="F125" s="95"/>
      <c r="G125" s="95"/>
      <c r="H125" s="95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</row>
    <row r="126" spans="1:32" ht="12.75" hidden="1">
      <c r="A126" s="25" t="s">
        <v>151</v>
      </c>
      <c r="B126" s="124"/>
      <c r="C126" s="95"/>
      <c r="D126" s="95"/>
      <c r="E126" s="95"/>
      <c r="F126" s="95"/>
      <c r="G126" s="95"/>
      <c r="H126" s="95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</row>
    <row r="127" spans="1:32" ht="12.75" hidden="1">
      <c r="A127" s="125">
        <f>C127/(1+'[1]WR Parking Model'!$C$25)^3</f>
        <v>204</v>
      </c>
      <c r="B127" s="124" t="s">
        <v>152</v>
      </c>
      <c r="C127" s="126">
        <f>'[1]WR Parking Model'!$F$24*(1+'[1]WR Parking Model'!$C$25)^(C$99-2004)</f>
        <v>222.91630800000001</v>
      </c>
      <c r="D127" s="126">
        <f>'[1]WR Parking Model'!$F$24*(1+'[1]WR Parking Model'!$C$25)^(D$99-2004)</f>
        <v>229.60379723999998</v>
      </c>
      <c r="E127" s="126">
        <f>'[1]WR Parking Model'!$F$24*(1+'[1]WR Parking Model'!$C$25)^(E$99-2004)</f>
        <v>236.49191115719998</v>
      </c>
      <c r="F127" s="126">
        <f>'[1]WR Parking Model'!$F$24*(1+'[1]WR Parking Model'!$C$25)^(F$99-2004)</f>
        <v>243.586668491916</v>
      </c>
      <c r="G127" s="126">
        <f>'[1]WR Parking Model'!$F$24*(1+'[1]WR Parking Model'!$C$25)^(G$99-2004)</f>
        <v>250.8942685466735</v>
      </c>
      <c r="H127" s="126">
        <f>'[1]WR Parking Model'!$F$24*(1+'[1]WR Parking Model'!$C$25)^(H$99-2004)</f>
        <v>258.42109660307364</v>
      </c>
      <c r="I127" s="127">
        <f>'[1]WR Parking Model'!$F$24*(1+'[1]WR Parking Model'!$C$25)^(I$99-2004)</f>
        <v>266.1737295011659</v>
      </c>
      <c r="J127" s="127">
        <f>'[1]WR Parking Model'!$F$24*(1+'[1]WR Parking Model'!$C$25)^(J$99-2004)</f>
        <v>274.15894138620087</v>
      </c>
      <c r="K127" s="127">
        <f>'[1]WR Parking Model'!$F$24*(1+'[1]WR Parking Model'!$C$25)^(K$99-2004)</f>
        <v>282.38370962778686</v>
      </c>
      <c r="L127" s="127">
        <f>'[1]WR Parking Model'!$F$24*(1+'[1]WR Parking Model'!$C$25)^(L$99-2004)</f>
        <v>290.85522091662045</v>
      </c>
      <c r="M127" s="127">
        <f>'[1]WR Parking Model'!$F$24*(1+'[1]WR Parking Model'!$C$25)^(M$99-2004)</f>
        <v>299.58087754411906</v>
      </c>
      <c r="N127" s="127">
        <f>'[1]WR Parking Model'!$F$24*(1+'[1]WR Parking Model'!$C$25)^(N$99-2004)</f>
        <v>308.56830387044266</v>
      </c>
      <c r="O127" s="127">
        <f>'[1]WR Parking Model'!$F$24*(1+'[1]WR Parking Model'!$C$25)^(O$99-2004)</f>
        <v>317.82535298655597</v>
      </c>
      <c r="P127" s="127">
        <f>'[1]WR Parking Model'!$F$24*(1+'[1]WR Parking Model'!$C$25)^(P$99-2004)</f>
        <v>327.36011357615257</v>
      </c>
      <c r="Q127" s="127">
        <f>'[1]WR Parking Model'!$F$24*(1+'[1]WR Parking Model'!$C$25)^(Q$99-2004)</f>
        <v>337.18091698343716</v>
      </c>
      <c r="R127" s="127">
        <f>'[1]WR Parking Model'!$F$24*(1+'[1]WR Parking Model'!$C$25)^(R$99-2004)</f>
        <v>347.29634449294025</v>
      </c>
      <c r="S127" s="127">
        <f>'[1]WR Parking Model'!$F$24*(1+'[1]WR Parking Model'!$C$25)^(S$99-2004)</f>
        <v>357.71523482772847</v>
      </c>
      <c r="T127" s="127">
        <f>'[1]WR Parking Model'!$F$24*(1+'[1]WR Parking Model'!$C$25)^(T$99-2004)</f>
        <v>368.4466918725603</v>
      </c>
      <c r="U127" s="127">
        <f>'[1]WR Parking Model'!$F$24*(1+'[1]WR Parking Model'!$C$25)^(U$99-2004)</f>
        <v>379.5000926287371</v>
      </c>
      <c r="V127" s="127">
        <f>'[1]WR Parking Model'!$F$24*(1+'[1]WR Parking Model'!$C$25)^(V$99-2004)</f>
        <v>390.88509540759924</v>
      </c>
      <c r="W127" s="127">
        <f>'[1]WR Parking Model'!$F$24*(1+'[1]WR Parking Model'!$C$25)^(W$99-2004)</f>
        <v>402.61164826982724</v>
      </c>
      <c r="X127" s="127">
        <f>'[1]WR Parking Model'!$F$24*(1+'[1]WR Parking Model'!$C$25)^(X$99-2004)</f>
        <v>414.689997717922</v>
      </c>
      <c r="Y127" s="127">
        <f>'[1]WR Parking Model'!$F$24*(1+'[1]WR Parking Model'!$C$25)^(Y$99-2004)</f>
        <v>427.13069764945965</v>
      </c>
      <c r="Z127" s="127">
        <f>'[1]WR Parking Model'!$F$24*(1+'[1]WR Parking Model'!$C$25)^(Z$99-2004)</f>
        <v>439.94461857894345</v>
      </c>
      <c r="AA127" s="127">
        <f>'[1]WR Parking Model'!$F$24*(1+'[1]WR Parking Model'!$C$25)^(AA$99-2004)</f>
        <v>453.14295713631174</v>
      </c>
      <c r="AB127" s="127">
        <f>'[1]WR Parking Model'!$F$24*(1+'[1]WR Parking Model'!$C$25)^(AB$99-2004)</f>
        <v>466.73724585040105</v>
      </c>
      <c r="AC127" s="127">
        <f>'[1]WR Parking Model'!$F$24*(1+'[1]WR Parking Model'!$C$25)^(AC$99-2004)</f>
        <v>480.73936322591305</v>
      </c>
      <c r="AD127" s="127">
        <f>'[1]WR Parking Model'!$F$24*(1+'[1]WR Parking Model'!$C$25)^(AD$99-2004)</f>
        <v>495.16154412269043</v>
      </c>
      <c r="AE127" s="127">
        <f>'[1]WR Parking Model'!$F$24*(1+'[1]WR Parking Model'!$C$25)^(AE$99-2004)</f>
        <v>510.01639044637125</v>
      </c>
      <c r="AF127" s="127">
        <f>'[1]WR Parking Model'!$F$24*(1+'[1]WR Parking Model'!$C$25)^(AF$99-2004)</f>
        <v>525.3168821597623</v>
      </c>
    </row>
    <row r="128" spans="1:32" ht="12.75" hidden="1">
      <c r="A128" s="125">
        <f>C128/(1+'[1]WR Parking Model'!$C$25)^3</f>
        <v>177.3913043478261</v>
      </c>
      <c r="B128" s="124" t="s">
        <v>153</v>
      </c>
      <c r="C128" s="126">
        <f>'[1]WR Parking Model'!$E$24*(1+'[1]WR Parking Model'!$C$25)^(C$99-2004)</f>
        <v>193.84026782608697</v>
      </c>
      <c r="D128" s="126">
        <f>'[1]WR Parking Model'!$E$24*(1+'[1]WR Parking Model'!$C$25)^(D$99-2004)</f>
        <v>199.65547586086956</v>
      </c>
      <c r="E128" s="126">
        <f>'[1]WR Parking Model'!$E$24*(1+'[1]WR Parking Model'!$C$25)^(E$99-2004)</f>
        <v>205.64514013669563</v>
      </c>
      <c r="F128" s="126">
        <f>'[1]WR Parking Model'!$E$24*(1+'[1]WR Parking Model'!$C$25)^(F$99-2004)</f>
        <v>211.8144943407965</v>
      </c>
      <c r="G128" s="126">
        <f>'[1]WR Parking Model'!$E$24*(1+'[1]WR Parking Model'!$C$25)^(G$99-2004)</f>
        <v>218.1689291710204</v>
      </c>
      <c r="H128" s="126">
        <f>'[1]WR Parking Model'!$E$24*(1+'[1]WR Parking Model'!$C$25)^(H$99-2004)</f>
        <v>224.713997046151</v>
      </c>
      <c r="I128" s="127">
        <f>'[1]WR Parking Model'!$E$24*(1+'[1]WR Parking Model'!$C$25)^(I$99-2004)</f>
        <v>231.45541695753553</v>
      </c>
      <c r="J128" s="127">
        <f>'[1]WR Parking Model'!$E$24*(1+'[1]WR Parking Model'!$C$25)^(J$99-2004)</f>
        <v>238.3990794662616</v>
      </c>
      <c r="K128" s="127">
        <f>'[1]WR Parking Model'!$E$24*(1+'[1]WR Parking Model'!$C$25)^(K$99-2004)</f>
        <v>245.55105185024948</v>
      </c>
      <c r="L128" s="127">
        <f>'[1]WR Parking Model'!$E$24*(1+'[1]WR Parking Model'!$C$25)^(L$99-2004)</f>
        <v>252.91758340575691</v>
      </c>
      <c r="M128" s="127">
        <f>'[1]WR Parking Model'!$E$24*(1+'[1]WR Parking Model'!$C$25)^(M$99-2004)</f>
        <v>260.50511090792963</v>
      </c>
      <c r="N128" s="127">
        <f>'[1]WR Parking Model'!$E$24*(1+'[1]WR Parking Model'!$C$25)^(N$99-2004)</f>
        <v>268.32026423516754</v>
      </c>
      <c r="O128" s="127">
        <f>'[1]WR Parking Model'!$E$24*(1+'[1]WR Parking Model'!$C$25)^(O$99-2004)</f>
        <v>276.3698721622226</v>
      </c>
      <c r="P128" s="127">
        <f>'[1]WR Parking Model'!$E$24*(1+'[1]WR Parking Model'!$C$25)^(P$99-2004)</f>
        <v>284.6609683270892</v>
      </c>
      <c r="Q128" s="127">
        <f>'[1]WR Parking Model'!$E$24*(1+'[1]WR Parking Model'!$C$25)^(Q$99-2004)</f>
        <v>293.20079737690185</v>
      </c>
      <c r="R128" s="127">
        <f>'[1]WR Parking Model'!$E$24*(1+'[1]WR Parking Model'!$C$25)^(R$99-2004)</f>
        <v>301.99682129820894</v>
      </c>
      <c r="S128" s="127">
        <f>'[1]WR Parking Model'!$E$24*(1+'[1]WR Parking Model'!$C$25)^(S$99-2004)</f>
        <v>311.0567259371552</v>
      </c>
      <c r="T128" s="127">
        <f>'[1]WR Parking Model'!$E$24*(1+'[1]WR Parking Model'!$C$25)^(T$99-2004)</f>
        <v>320.3884277152698</v>
      </c>
      <c r="U128" s="127">
        <f>'[1]WR Parking Model'!$E$24*(1+'[1]WR Parking Model'!$C$25)^(U$99-2004)</f>
        <v>330.0000805467279</v>
      </c>
      <c r="V128" s="127">
        <f>'[1]WR Parking Model'!$E$24*(1+'[1]WR Parking Model'!$C$25)^(V$99-2004)</f>
        <v>339.90008296312976</v>
      </c>
      <c r="W128" s="127">
        <f>'[1]WR Parking Model'!$E$24*(1+'[1]WR Parking Model'!$C$25)^(W$99-2004)</f>
        <v>350.0970854520237</v>
      </c>
      <c r="X128" s="127">
        <f>'[1]WR Parking Model'!$E$24*(1+'[1]WR Parking Model'!$C$25)^(X$99-2004)</f>
        <v>360.59999801558433</v>
      </c>
      <c r="Y128" s="127">
        <f>'[1]WR Parking Model'!$E$24*(1+'[1]WR Parking Model'!$C$25)^(Y$99-2004)</f>
        <v>371.41799795605186</v>
      </c>
      <c r="Z128" s="127">
        <f>'[1]WR Parking Model'!$E$24*(1+'[1]WR Parking Model'!$C$25)^(Z$99-2004)</f>
        <v>382.56053789473344</v>
      </c>
      <c r="AA128" s="127">
        <f>'[1]WR Parking Model'!$E$24*(1+'[1]WR Parking Model'!$C$25)^(AA$99-2004)</f>
        <v>394.03735403157543</v>
      </c>
      <c r="AB128" s="127">
        <f>'[1]WR Parking Model'!$E$24*(1+'[1]WR Parking Model'!$C$25)^(AB$99-2004)</f>
        <v>405.8584746525227</v>
      </c>
      <c r="AC128" s="127">
        <f>'[1]WR Parking Model'!$E$24*(1+'[1]WR Parking Model'!$C$25)^(AC$99-2004)</f>
        <v>418.0342288920983</v>
      </c>
      <c r="AD128" s="127">
        <f>'[1]WR Parking Model'!$E$24*(1+'[1]WR Parking Model'!$C$25)^(AD$99-2004)</f>
        <v>430.57525575886126</v>
      </c>
      <c r="AE128" s="127">
        <f>'[1]WR Parking Model'!$E$24*(1+'[1]WR Parking Model'!$C$25)^(AE$99-2004)</f>
        <v>443.4925134316272</v>
      </c>
      <c r="AF128" s="127">
        <f>'[1]WR Parking Model'!$E$24*(1+'[1]WR Parking Model'!$C$25)^(AF$99-2004)</f>
        <v>456.7972888345759</v>
      </c>
    </row>
    <row r="129" spans="1:32" ht="12.75" hidden="1">
      <c r="A129" s="128">
        <f>'[1]WR Parking Model'!C55</f>
        <v>0.15</v>
      </c>
      <c r="B129" s="124" t="s">
        <v>154</v>
      </c>
      <c r="C129" s="121"/>
      <c r="D129" s="95"/>
      <c r="E129" s="95"/>
      <c r="F129" s="95"/>
      <c r="G129" s="95"/>
      <c r="H129" s="95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</row>
    <row r="130" spans="1:32" ht="12.75">
      <c r="A130" s="25"/>
      <c r="B130" s="124"/>
      <c r="C130" s="95"/>
      <c r="D130" s="95"/>
      <c r="E130" s="95"/>
      <c r="F130" s="95"/>
      <c r="G130" s="95"/>
      <c r="H130" s="95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</row>
    <row r="131" spans="1:59" ht="12.75">
      <c r="A131" s="25"/>
      <c r="B131" s="124" t="s">
        <v>155</v>
      </c>
      <c r="C131" s="129">
        <f>C122/C120</f>
        <v>1.0063070421842721</v>
      </c>
      <c r="D131" s="129">
        <f>D122/D120</f>
        <v>0.9625770041581084</v>
      </c>
      <c r="E131" s="129">
        <f>E122/E120</f>
        <v>0.9473565541777644</v>
      </c>
      <c r="F131" s="129">
        <f aca="true" t="shared" si="30" ref="F131:AF131">F122/F120</f>
        <v>0.932579418274518</v>
      </c>
      <c r="G131" s="129">
        <f t="shared" si="30"/>
        <v>0.9182326843878708</v>
      </c>
      <c r="H131" s="129">
        <f t="shared" si="30"/>
        <v>0.9043038165367572</v>
      </c>
      <c r="I131" s="130">
        <f t="shared" si="30"/>
        <v>0.8907806438657728</v>
      </c>
      <c r="J131" s="130">
        <f t="shared" si="30"/>
        <v>0.8776513500104483</v>
      </c>
      <c r="K131" s="130">
        <f t="shared" si="30"/>
        <v>0.8649044627722693</v>
      </c>
      <c r="L131" s="130">
        <f t="shared" si="30"/>
        <v>0.8525288440944255</v>
      </c>
      <c r="M131" s="130">
        <f t="shared" si="30"/>
        <v>0.8405136803295286</v>
      </c>
      <c r="N131" s="130">
        <f t="shared" si="30"/>
        <v>0.8288484727907938</v>
      </c>
      <c r="O131" s="130">
        <f t="shared" si="30"/>
        <v>0.8175230285784297</v>
      </c>
      <c r="P131" s="130">
        <f t="shared" si="30"/>
        <v>0.806527451673222</v>
      </c>
      <c r="Q131" s="130">
        <f t="shared" si="30"/>
        <v>0.7958521342895252</v>
      </c>
      <c r="R131" s="130">
        <f t="shared" si="30"/>
        <v>0.7854877484801107</v>
      </c>
      <c r="S131" s="130">
        <f t="shared" si="30"/>
        <v>0.7754252379855339</v>
      </c>
      <c r="T131" s="130">
        <f t="shared" si="30"/>
        <v>0.7656558103208958</v>
      </c>
      <c r="U131" s="130">
        <f t="shared" si="30"/>
        <v>0.7561709290930919</v>
      </c>
      <c r="V131" s="130">
        <f t="shared" si="30"/>
        <v>0.746962306541826</v>
      </c>
      <c r="W131" s="130">
        <f t="shared" si="30"/>
        <v>0.7380218962978788</v>
      </c>
      <c r="X131" s="130">
        <f t="shared" si="30"/>
        <v>0.7293418863522986</v>
      </c>
      <c r="Y131" s="130">
        <f t="shared" si="30"/>
        <v>0.7209146922303764</v>
      </c>
      <c r="Z131" s="130">
        <f t="shared" si="30"/>
        <v>0.7127329503644324</v>
      </c>
      <c r="AA131" s="130">
        <f t="shared" si="30"/>
        <v>0.7047895116596326</v>
      </c>
      <c r="AB131" s="130">
        <f t="shared" si="30"/>
        <v>0.6970774352472052</v>
      </c>
      <c r="AC131" s="130">
        <f t="shared" si="30"/>
        <v>0.6895899824196061</v>
      </c>
      <c r="AD131" s="130">
        <f t="shared" si="30"/>
        <v>0.6823206107423253</v>
      </c>
      <c r="AE131" s="130">
        <f t="shared" si="30"/>
        <v>0.440008221499633</v>
      </c>
      <c r="AF131" s="130">
        <f t="shared" si="30"/>
        <v>0.44000822149963287</v>
      </c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</row>
    <row r="132" spans="1:63" s="136" customFormat="1" ht="12.75">
      <c r="A132" s="131"/>
      <c r="B132" s="132"/>
      <c r="C132" s="133"/>
      <c r="D132" s="134"/>
      <c r="E132" s="134"/>
      <c r="F132" s="134"/>
      <c r="G132" s="134"/>
      <c r="H132" s="134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</row>
    <row r="133" spans="1:32" ht="15.75">
      <c r="A133" s="25"/>
      <c r="B133" s="137" t="s">
        <v>156</v>
      </c>
      <c r="C133" s="138">
        <f>C142/'[1]KC format'!$N$13</f>
        <v>18.963190594798476</v>
      </c>
      <c r="D133" s="138">
        <f>D142/'[1]KC format'!$N$13</f>
        <v>19.386102610728855</v>
      </c>
      <c r="E133" s="138">
        <f>E142/'[1]KC format'!$N$13</f>
        <v>19.919577438287742</v>
      </c>
      <c r="F133" s="138">
        <f>F142/'[1]KC format'!$N$13</f>
        <v>20.468094345658162</v>
      </c>
      <c r="G133" s="138">
        <f>G142/'[1]KC format'!$N$13</f>
        <v>21.032085351934125</v>
      </c>
      <c r="H133" s="138">
        <f>H142/'[1]KC format'!$N$13</f>
        <v>21.61199505191648</v>
      </c>
      <c r="I133" s="139">
        <f>I142/'[1]KC format'!$N$13</f>
        <v>22.2082809856868</v>
      </c>
      <c r="J133" s="139">
        <f>J142/'[1]KC format'!$N$13</f>
        <v>22.874529415257406</v>
      </c>
      <c r="K133" s="139">
        <f>K142/'[1]KC format'!$N$13</f>
        <v>23.560765297715133</v>
      </c>
      <c r="L133" s="139">
        <f>L142/'[1]KC format'!$N$13</f>
        <v>24.26758825664659</v>
      </c>
      <c r="M133" s="139">
        <f>M142/'[1]KC format'!$N$13</f>
        <v>24.995615904345986</v>
      </c>
      <c r="N133" s="139">
        <f>N142/'[1]KC format'!$N$13</f>
        <v>25.745484381476366</v>
      </c>
      <c r="O133" s="139">
        <f>O142/'[1]KC format'!$N$13</f>
        <v>26.51784891292066</v>
      </c>
      <c r="P133" s="139">
        <f>P142/'[1]KC format'!$N$13</f>
        <v>27.31338438030828</v>
      </c>
      <c r="Q133" s="139">
        <f>Q142/'[1]KC format'!$N$13</f>
        <v>28.132785911717512</v>
      </c>
      <c r="R133" s="139">
        <f>R142/'[1]KC format'!$N$13</f>
        <v>28.976769489069053</v>
      </c>
      <c r="S133" s="139">
        <f>S142/'[1]KC format'!$N$13</f>
        <v>29.84607257374112</v>
      </c>
      <c r="T133" s="139">
        <f>T142/'[1]KC format'!$N$13</f>
        <v>30.74145475095336</v>
      </c>
      <c r="U133" s="139">
        <f>U142/'[1]KC format'!$N$13</f>
        <v>31.66369839348196</v>
      </c>
      <c r="V133" s="139">
        <f>V142/'[1]KC format'!$N$13</f>
        <v>32.61360934528641</v>
      </c>
      <c r="W133" s="139">
        <f>W142/'[1]KC format'!$N$13</f>
        <v>33.59201762564501</v>
      </c>
      <c r="X133" s="139">
        <f>X142/'[1]KC format'!$N$13</f>
        <v>34.599778154414366</v>
      </c>
      <c r="Y133" s="139">
        <f>Y142/'[1]KC format'!$N$13</f>
        <v>35.6377714990468</v>
      </c>
      <c r="Z133" s="139">
        <f>Z142/'[1]KC format'!$N$13</f>
        <v>36.70690464401821</v>
      </c>
      <c r="AA133" s="139">
        <f>AA142/'[1]KC format'!$N$13</f>
        <v>37.80811178333876</v>
      </c>
      <c r="AB133" s="139">
        <f>AB142/'[1]KC format'!$N$13</f>
        <v>38.94235513683891</v>
      </c>
      <c r="AC133" s="139">
        <f>AC142/'[1]KC format'!$N$13</f>
        <v>40.11062579094408</v>
      </c>
      <c r="AD133" s="139">
        <f>AD142/'[1]KC format'!$N$13</f>
        <v>41.313944564672404</v>
      </c>
      <c r="AE133" s="139">
        <f>AE142/'[1]KC format'!$N$13</f>
        <v>42.55336290161258</v>
      </c>
      <c r="AF133" s="139">
        <f>AF142/'[1]KC format'!$N$13</f>
        <v>43.82996378866096</v>
      </c>
    </row>
    <row r="134" spans="1:32" ht="15.75">
      <c r="A134" s="25"/>
      <c r="B134" s="137"/>
      <c r="C134" s="26">
        <v>1</v>
      </c>
      <c r="D134" s="75">
        <f>C134+1</f>
        <v>2</v>
      </c>
      <c r="E134" s="75">
        <f aca="true" t="shared" si="31" ref="E134:AF135">D134+1</f>
        <v>3</v>
      </c>
      <c r="F134" s="75">
        <f t="shared" si="31"/>
        <v>4</v>
      </c>
      <c r="G134" s="75">
        <f t="shared" si="31"/>
        <v>5</v>
      </c>
      <c r="H134" s="75">
        <f t="shared" si="31"/>
        <v>6</v>
      </c>
      <c r="I134" s="76">
        <f t="shared" si="31"/>
        <v>7</v>
      </c>
      <c r="J134" s="76">
        <f t="shared" si="31"/>
        <v>8</v>
      </c>
      <c r="K134" s="76">
        <f t="shared" si="31"/>
        <v>9</v>
      </c>
      <c r="L134" s="76">
        <f t="shared" si="31"/>
        <v>10</v>
      </c>
      <c r="M134" s="76">
        <f t="shared" si="31"/>
        <v>11</v>
      </c>
      <c r="N134" s="76">
        <f t="shared" si="31"/>
        <v>12</v>
      </c>
      <c r="O134" s="76">
        <f t="shared" si="31"/>
        <v>13</v>
      </c>
      <c r="P134" s="76">
        <f t="shared" si="31"/>
        <v>14</v>
      </c>
      <c r="Q134" s="76">
        <f t="shared" si="31"/>
        <v>15</v>
      </c>
      <c r="R134" s="76">
        <f t="shared" si="31"/>
        <v>16</v>
      </c>
      <c r="S134" s="76">
        <f t="shared" si="31"/>
        <v>17</v>
      </c>
      <c r="T134" s="76">
        <f t="shared" si="31"/>
        <v>18</v>
      </c>
      <c r="U134" s="76">
        <f t="shared" si="31"/>
        <v>19</v>
      </c>
      <c r="V134" s="76">
        <f t="shared" si="31"/>
        <v>20</v>
      </c>
      <c r="W134" s="76">
        <f t="shared" si="31"/>
        <v>21</v>
      </c>
      <c r="X134" s="76">
        <f t="shared" si="31"/>
        <v>22</v>
      </c>
      <c r="Y134" s="76">
        <f t="shared" si="31"/>
        <v>23</v>
      </c>
      <c r="Z134" s="76">
        <f t="shared" si="31"/>
        <v>24</v>
      </c>
      <c r="AA134" s="76">
        <f t="shared" si="31"/>
        <v>25</v>
      </c>
      <c r="AB134" s="76">
        <f t="shared" si="31"/>
        <v>26</v>
      </c>
      <c r="AC134" s="76">
        <f t="shared" si="31"/>
        <v>27</v>
      </c>
      <c r="AD134" s="76">
        <f t="shared" si="31"/>
        <v>28</v>
      </c>
      <c r="AE134" s="76">
        <f t="shared" si="31"/>
        <v>29</v>
      </c>
      <c r="AF134" s="76">
        <f t="shared" si="31"/>
        <v>30</v>
      </c>
    </row>
    <row r="135" spans="1:32" ht="15.75">
      <c r="A135" s="25"/>
      <c r="B135" s="137" t="s">
        <v>9</v>
      </c>
      <c r="C135" s="26">
        <v>2007</v>
      </c>
      <c r="D135" s="26">
        <f>C135+1</f>
        <v>2008</v>
      </c>
      <c r="E135" s="26">
        <f>D135+1</f>
        <v>2009</v>
      </c>
      <c r="F135" s="26">
        <f>E135+1</f>
        <v>2010</v>
      </c>
      <c r="G135" s="26">
        <f>F135+1</f>
        <v>2011</v>
      </c>
      <c r="H135" s="26">
        <f t="shared" si="31"/>
        <v>2012</v>
      </c>
      <c r="I135" s="18">
        <f t="shared" si="31"/>
        <v>2013</v>
      </c>
      <c r="J135" s="18">
        <f t="shared" si="31"/>
        <v>2014</v>
      </c>
      <c r="K135" s="18">
        <f t="shared" si="31"/>
        <v>2015</v>
      </c>
      <c r="L135" s="18">
        <f t="shared" si="31"/>
        <v>2016</v>
      </c>
      <c r="M135" s="18">
        <f t="shared" si="31"/>
        <v>2017</v>
      </c>
      <c r="N135" s="18">
        <f t="shared" si="31"/>
        <v>2018</v>
      </c>
      <c r="O135" s="18">
        <f t="shared" si="31"/>
        <v>2019</v>
      </c>
      <c r="P135" s="18">
        <f t="shared" si="31"/>
        <v>2020</v>
      </c>
      <c r="Q135" s="18">
        <f t="shared" si="31"/>
        <v>2021</v>
      </c>
      <c r="R135" s="18">
        <f t="shared" si="31"/>
        <v>2022</v>
      </c>
      <c r="S135" s="18">
        <f t="shared" si="31"/>
        <v>2023</v>
      </c>
      <c r="T135" s="18">
        <f t="shared" si="31"/>
        <v>2024</v>
      </c>
      <c r="U135" s="18">
        <f t="shared" si="31"/>
        <v>2025</v>
      </c>
      <c r="V135" s="18">
        <f>U135+1</f>
        <v>2026</v>
      </c>
      <c r="W135" s="18">
        <f t="shared" si="31"/>
        <v>2027</v>
      </c>
      <c r="X135" s="18">
        <f t="shared" si="31"/>
        <v>2028</v>
      </c>
      <c r="Y135" s="18">
        <f t="shared" si="31"/>
        <v>2029</v>
      </c>
      <c r="Z135" s="18">
        <f t="shared" si="31"/>
        <v>2030</v>
      </c>
      <c r="AA135" s="18">
        <f t="shared" si="31"/>
        <v>2031</v>
      </c>
      <c r="AB135" s="18">
        <f t="shared" si="31"/>
        <v>2032</v>
      </c>
      <c r="AC135" s="18">
        <f t="shared" si="31"/>
        <v>2033</v>
      </c>
      <c r="AD135" s="18">
        <f t="shared" si="31"/>
        <v>2034</v>
      </c>
      <c r="AE135" s="18">
        <f t="shared" si="31"/>
        <v>2035</v>
      </c>
      <c r="AF135" s="18">
        <f t="shared" si="31"/>
        <v>2036</v>
      </c>
    </row>
    <row r="136" spans="1:32" ht="12.75">
      <c r="A136" s="140" t="s">
        <v>157</v>
      </c>
      <c r="B136" s="121" t="s">
        <v>158</v>
      </c>
      <c r="C136" s="95">
        <f aca="true" t="shared" si="32" ref="C136:AF136">C55+C56-C100</f>
        <v>5738407.195464788</v>
      </c>
      <c r="D136" s="95">
        <f t="shared" si="32"/>
        <v>5738407.195464788</v>
      </c>
      <c r="E136" s="95">
        <f t="shared" si="32"/>
        <v>5738407.195464788</v>
      </c>
      <c r="F136" s="95">
        <f t="shared" si="32"/>
        <v>5738407.195464788</v>
      </c>
      <c r="G136" s="95">
        <f t="shared" si="32"/>
        <v>5738407.195464788</v>
      </c>
      <c r="H136" s="95">
        <f t="shared" si="32"/>
        <v>5738407.195464788</v>
      </c>
      <c r="I136" s="96">
        <f t="shared" si="32"/>
        <v>5738407.195464788</v>
      </c>
      <c r="J136" s="96">
        <f t="shared" si="32"/>
        <v>5738407.195464788</v>
      </c>
      <c r="K136" s="96">
        <f t="shared" si="32"/>
        <v>5738407.195464788</v>
      </c>
      <c r="L136" s="96">
        <f t="shared" si="32"/>
        <v>5738407.195464788</v>
      </c>
      <c r="M136" s="96">
        <f t="shared" si="32"/>
        <v>5738407.195464788</v>
      </c>
      <c r="N136" s="96">
        <f t="shared" si="32"/>
        <v>5738407.195464788</v>
      </c>
      <c r="O136" s="96">
        <f t="shared" si="32"/>
        <v>5738407.195464788</v>
      </c>
      <c r="P136" s="96">
        <f t="shared" si="32"/>
        <v>5738407.195464788</v>
      </c>
      <c r="Q136" s="96">
        <f t="shared" si="32"/>
        <v>5738407.195464788</v>
      </c>
      <c r="R136" s="96">
        <f t="shared" si="32"/>
        <v>5738407.195464788</v>
      </c>
      <c r="S136" s="96">
        <f t="shared" si="32"/>
        <v>5738407.195464788</v>
      </c>
      <c r="T136" s="96">
        <f t="shared" si="32"/>
        <v>5738407.195464788</v>
      </c>
      <c r="U136" s="96">
        <f t="shared" si="32"/>
        <v>5738407.195464788</v>
      </c>
      <c r="V136" s="96">
        <f t="shared" si="32"/>
        <v>5738407.195464788</v>
      </c>
      <c r="W136" s="96">
        <f t="shared" si="32"/>
        <v>5738407.195464788</v>
      </c>
      <c r="X136" s="96">
        <f t="shared" si="32"/>
        <v>5738407.195464788</v>
      </c>
      <c r="Y136" s="96">
        <f t="shared" si="32"/>
        <v>5738407.195464788</v>
      </c>
      <c r="Z136" s="96">
        <f t="shared" si="32"/>
        <v>5738407.195464788</v>
      </c>
      <c r="AA136" s="96">
        <f t="shared" si="32"/>
        <v>5738407.195464788</v>
      </c>
      <c r="AB136" s="96">
        <f t="shared" si="32"/>
        <v>5738407.195464788</v>
      </c>
      <c r="AC136" s="96">
        <f t="shared" si="32"/>
        <v>5738407.195464788</v>
      </c>
      <c r="AD136" s="96">
        <f t="shared" si="32"/>
        <v>5738407.195464788</v>
      </c>
      <c r="AE136" s="96">
        <f t="shared" si="32"/>
        <v>0</v>
      </c>
      <c r="AF136" s="96">
        <f t="shared" si="32"/>
        <v>0</v>
      </c>
    </row>
    <row r="137" spans="1:63" s="12" customFormat="1" ht="12.75">
      <c r="A137" s="77">
        <f>ROUND(NPV($C$26,C137:AD137),-5)</f>
        <v>68100000</v>
      </c>
      <c r="B137" s="119" t="s">
        <v>159</v>
      </c>
      <c r="C137" s="80">
        <f aca="true" t="shared" si="33" ref="C137:AF137">C61-C100</f>
        <v>6082991.708448492</v>
      </c>
      <c r="D137" s="80">
        <f t="shared" si="33"/>
        <v>6090710.580183014</v>
      </c>
      <c r="E137" s="80">
        <f t="shared" si="33"/>
        <v>6098661.018069571</v>
      </c>
      <c r="F137" s="80">
        <f t="shared" si="33"/>
        <v>6106849.969092725</v>
      </c>
      <c r="G137" s="80">
        <f t="shared" si="33"/>
        <v>6115284.588646574</v>
      </c>
      <c r="H137" s="80">
        <f t="shared" si="33"/>
        <v>6123972.24678704</v>
      </c>
      <c r="I137" s="81">
        <f t="shared" si="33"/>
        <v>6132920.534671718</v>
      </c>
      <c r="J137" s="81">
        <f t="shared" si="33"/>
        <v>6142137.271192936</v>
      </c>
      <c r="K137" s="81">
        <f t="shared" si="33"/>
        <v>6151630.509809792</v>
      </c>
      <c r="L137" s="81">
        <f t="shared" si="33"/>
        <v>6161408.545585152</v>
      </c>
      <c r="M137" s="81">
        <f t="shared" si="33"/>
        <v>6171479.922433775</v>
      </c>
      <c r="N137" s="81">
        <f t="shared" si="33"/>
        <v>6181853.440587856</v>
      </c>
      <c r="O137" s="81">
        <f t="shared" si="33"/>
        <v>6192538.164286558</v>
      </c>
      <c r="P137" s="81">
        <f t="shared" si="33"/>
        <v>6203543.429696223</v>
      </c>
      <c r="Q137" s="81">
        <f t="shared" si="33"/>
        <v>6214878.853068177</v>
      </c>
      <c r="R137" s="81">
        <f t="shared" si="33"/>
        <v>6226554.339141287</v>
      </c>
      <c r="S137" s="81">
        <f t="shared" si="33"/>
        <v>6238580.089796593</v>
      </c>
      <c r="T137" s="81">
        <f t="shared" si="33"/>
        <v>6250966.612971559</v>
      </c>
      <c r="U137" s="81">
        <f t="shared" si="33"/>
        <v>6263724.731841773</v>
      </c>
      <c r="V137" s="81">
        <f t="shared" si="33"/>
        <v>6276865.594278093</v>
      </c>
      <c r="W137" s="81">
        <f t="shared" si="33"/>
        <v>6290400.682587504</v>
      </c>
      <c r="X137" s="81">
        <f t="shared" si="33"/>
        <v>6304341.823546197</v>
      </c>
      <c r="Y137" s="81">
        <f t="shared" si="33"/>
        <v>6318701.198733648</v>
      </c>
      <c r="Z137" s="81">
        <f t="shared" si="33"/>
        <v>6333491.355176726</v>
      </c>
      <c r="AA137" s="81">
        <f t="shared" si="33"/>
        <v>6348725.216313096</v>
      </c>
      <c r="AB137" s="81">
        <f t="shared" si="33"/>
        <v>6277127.304783918</v>
      </c>
      <c r="AC137" s="81">
        <f t="shared" si="33"/>
        <v>6293288.908063494</v>
      </c>
      <c r="AD137" s="81">
        <f t="shared" si="33"/>
        <v>6309935.359441454</v>
      </c>
      <c r="AE137" s="81">
        <f t="shared" si="33"/>
        <v>588674.0088959654</v>
      </c>
      <c r="AF137" s="81">
        <f t="shared" si="33"/>
        <v>606334.2291628444</v>
      </c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</row>
    <row r="138" spans="1:32" ht="12.75">
      <c r="A138" s="77"/>
      <c r="B138" s="121"/>
      <c r="C138" s="95"/>
      <c r="D138" s="95"/>
      <c r="E138" s="95"/>
      <c r="F138" s="95"/>
      <c r="G138" s="95"/>
      <c r="H138" s="95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</row>
    <row r="139" spans="1:32" ht="15.75">
      <c r="A139" s="77"/>
      <c r="B139" s="137" t="s">
        <v>160</v>
      </c>
      <c r="C139" s="95"/>
      <c r="D139" s="95"/>
      <c r="E139" s="95"/>
      <c r="F139" s="95"/>
      <c r="G139" s="95"/>
      <c r="H139" s="95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</row>
    <row r="140" spans="1:32" ht="12.75">
      <c r="A140" s="77">
        <f>ROUND(NPV($C$26,C140:AD140),-5)</f>
        <v>76100000</v>
      </c>
      <c r="B140" s="121" t="s">
        <v>161</v>
      </c>
      <c r="C140" s="95">
        <f>C64+C65</f>
        <v>5265648.891301961</v>
      </c>
      <c r="D140" s="95">
        <f aca="true" t="shared" si="34" ref="D140:AF140">D64+D65</f>
        <v>5381575.05188991</v>
      </c>
      <c r="E140" s="95">
        <f t="shared" si="34"/>
        <v>5529167.1272268705</v>
      </c>
      <c r="F140" s="95">
        <f t="shared" si="34"/>
        <v>5680909.861299551</v>
      </c>
      <c r="G140" s="95">
        <f t="shared" si="34"/>
        <v>5836922.231799528</v>
      </c>
      <c r="H140" s="95">
        <f t="shared" si="34"/>
        <v>5997326.674907722</v>
      </c>
      <c r="I140" s="96">
        <f t="shared" si="34"/>
        <v>6162249.186832247</v>
      </c>
      <c r="J140" s="96">
        <f t="shared" si="34"/>
        <v>6347116.662437215</v>
      </c>
      <c r="K140" s="96">
        <f t="shared" si="34"/>
        <v>6537530.162310332</v>
      </c>
      <c r="L140" s="96">
        <f t="shared" si="34"/>
        <v>6733656.067179644</v>
      </c>
      <c r="M140" s="96">
        <f t="shared" si="34"/>
        <v>6935665.749195032</v>
      </c>
      <c r="N140" s="96">
        <f t="shared" si="34"/>
        <v>7143735.721670883</v>
      </c>
      <c r="O140" s="96">
        <f t="shared" si="34"/>
        <v>7358047.79332101</v>
      </c>
      <c r="P140" s="96">
        <f t="shared" si="34"/>
        <v>7578789.22712064</v>
      </c>
      <c r="Q140" s="96">
        <f t="shared" si="34"/>
        <v>7806152.903934256</v>
      </c>
      <c r="R140" s="96">
        <f t="shared" si="34"/>
        <v>8040337.491052288</v>
      </c>
      <c r="S140" s="96">
        <f t="shared" si="34"/>
        <v>8281547.615783856</v>
      </c>
      <c r="T140" s="96">
        <f t="shared" si="34"/>
        <v>8529994.044257373</v>
      </c>
      <c r="U140" s="96">
        <f t="shared" si="34"/>
        <v>8785893.865585092</v>
      </c>
      <c r="V140" s="96">
        <f t="shared" si="34"/>
        <v>9049470.681552645</v>
      </c>
      <c r="W140" s="96">
        <f t="shared" si="34"/>
        <v>9320954.801999224</v>
      </c>
      <c r="X140" s="96">
        <f t="shared" si="34"/>
        <v>9600583.446059203</v>
      </c>
      <c r="Y140" s="96">
        <f t="shared" si="34"/>
        <v>9888600.94944098</v>
      </c>
      <c r="Z140" s="96">
        <f t="shared" si="34"/>
        <v>10185258.977924211</v>
      </c>
      <c r="AA140" s="96">
        <f t="shared" si="34"/>
        <v>10490816.747261938</v>
      </c>
      <c r="AB140" s="96">
        <f t="shared" si="34"/>
        <v>10805541.249679793</v>
      </c>
      <c r="AC140" s="96">
        <f t="shared" si="34"/>
        <v>11129707.487170188</v>
      </c>
      <c r="AD140" s="96">
        <f t="shared" si="34"/>
        <v>11463598.711785294</v>
      </c>
      <c r="AE140" s="96">
        <f t="shared" si="34"/>
        <v>11807506.673138853</v>
      </c>
      <c r="AF140" s="96">
        <f t="shared" si="34"/>
        <v>12161731.87333302</v>
      </c>
    </row>
    <row r="141" spans="1:32" ht="12.75">
      <c r="A141" s="77">
        <f>ROUND(NPV($C$26,C141:AD141),-5)</f>
        <v>2900000</v>
      </c>
      <c r="B141" s="121" t="s">
        <v>162</v>
      </c>
      <c r="C141" s="95">
        <f>C68</f>
        <v>195750</v>
      </c>
      <c r="D141" s="95">
        <f aca="true" t="shared" si="35" ref="D141:AF141">D68</f>
        <v>201622.5</v>
      </c>
      <c r="E141" s="95">
        <f t="shared" si="35"/>
        <v>207671.17500000002</v>
      </c>
      <c r="F141" s="95">
        <f t="shared" si="35"/>
        <v>213901.31025</v>
      </c>
      <c r="G141" s="95">
        <f t="shared" si="35"/>
        <v>220318.3495575</v>
      </c>
      <c r="H141" s="95">
        <f t="shared" si="35"/>
        <v>226927.900044225</v>
      </c>
      <c r="I141" s="96">
        <f t="shared" si="35"/>
        <v>233735.73704555177</v>
      </c>
      <c r="J141" s="96">
        <f t="shared" si="35"/>
        <v>240747.80915691832</v>
      </c>
      <c r="K141" s="96">
        <f t="shared" si="35"/>
        <v>247970.24343162586</v>
      </c>
      <c r="L141" s="96">
        <f t="shared" si="35"/>
        <v>255409.35073457463</v>
      </c>
      <c r="M141" s="96">
        <f t="shared" si="35"/>
        <v>263071.6312566119</v>
      </c>
      <c r="N141" s="96">
        <f t="shared" si="35"/>
        <v>270963.78019431024</v>
      </c>
      <c r="O141" s="96">
        <f t="shared" si="35"/>
        <v>279092.6936001396</v>
      </c>
      <c r="P141" s="96">
        <f t="shared" si="35"/>
        <v>287465.4744081438</v>
      </c>
      <c r="Q141" s="96">
        <f t="shared" si="35"/>
        <v>296089.4386403881</v>
      </c>
      <c r="R141" s="96">
        <f t="shared" si="35"/>
        <v>304972.1217995997</v>
      </c>
      <c r="S141" s="96">
        <f t="shared" si="35"/>
        <v>314121.2854535877</v>
      </c>
      <c r="T141" s="96">
        <f t="shared" si="35"/>
        <v>323544.92401719536</v>
      </c>
      <c r="U141" s="96">
        <f t="shared" si="35"/>
        <v>333251.2717377112</v>
      </c>
      <c r="V141" s="96">
        <f t="shared" si="35"/>
        <v>343248.8098898426</v>
      </c>
      <c r="W141" s="96">
        <f t="shared" si="35"/>
        <v>353546.2741865379</v>
      </c>
      <c r="X141" s="96">
        <f t="shared" si="35"/>
        <v>364152.66241213406</v>
      </c>
      <c r="Y141" s="96">
        <f t="shared" si="35"/>
        <v>375077.24228449806</v>
      </c>
      <c r="Z141" s="96">
        <f t="shared" si="35"/>
        <v>386329.55955303303</v>
      </c>
      <c r="AA141" s="96">
        <f t="shared" si="35"/>
        <v>397919.44633962406</v>
      </c>
      <c r="AB141" s="96">
        <f t="shared" si="35"/>
        <v>409857.0297298128</v>
      </c>
      <c r="AC141" s="96">
        <f t="shared" si="35"/>
        <v>422152.7406217072</v>
      </c>
      <c r="AD141" s="96">
        <f t="shared" si="35"/>
        <v>434817.3228403585</v>
      </c>
      <c r="AE141" s="96">
        <f t="shared" si="35"/>
        <v>447861.84252556926</v>
      </c>
      <c r="AF141" s="96">
        <f t="shared" si="35"/>
        <v>461297.69780133636</v>
      </c>
    </row>
    <row r="142" spans="1:63" s="12" customFormat="1" ht="12.75">
      <c r="A142" s="77">
        <f>ROUND(NPV($C$26,C142:AD142),-5)</f>
        <v>79000000</v>
      </c>
      <c r="B142" s="119" t="s">
        <v>163</v>
      </c>
      <c r="C142" s="80">
        <f>SUM(C140:C141)</f>
        <v>5461398.891301961</v>
      </c>
      <c r="D142" s="80">
        <f aca="true" t="shared" si="36" ref="D142:AF142">SUM(D140:D141)</f>
        <v>5583197.55188991</v>
      </c>
      <c r="E142" s="80">
        <f t="shared" si="36"/>
        <v>5736838.30222687</v>
      </c>
      <c r="F142" s="80">
        <f t="shared" si="36"/>
        <v>5894811.171549551</v>
      </c>
      <c r="G142" s="80">
        <f t="shared" si="36"/>
        <v>6057240.581357028</v>
      </c>
      <c r="H142" s="80">
        <f t="shared" si="36"/>
        <v>6224254.574951947</v>
      </c>
      <c r="I142" s="81">
        <f t="shared" si="36"/>
        <v>6395984.923877799</v>
      </c>
      <c r="J142" s="81">
        <f t="shared" si="36"/>
        <v>6587864.471594133</v>
      </c>
      <c r="K142" s="81">
        <f t="shared" si="36"/>
        <v>6785500.405741958</v>
      </c>
      <c r="L142" s="81">
        <f t="shared" si="36"/>
        <v>6989065.417914218</v>
      </c>
      <c r="M142" s="81">
        <f t="shared" si="36"/>
        <v>7198737.380451644</v>
      </c>
      <c r="N142" s="81">
        <f t="shared" si="36"/>
        <v>7414699.501865193</v>
      </c>
      <c r="O142" s="81">
        <f t="shared" si="36"/>
        <v>7637140.486921149</v>
      </c>
      <c r="P142" s="81">
        <f t="shared" si="36"/>
        <v>7866254.701528784</v>
      </c>
      <c r="Q142" s="81">
        <f t="shared" si="36"/>
        <v>8102242.342574644</v>
      </c>
      <c r="R142" s="81">
        <f t="shared" si="36"/>
        <v>8345309.612851887</v>
      </c>
      <c r="S142" s="81">
        <f t="shared" si="36"/>
        <v>8595668.901237443</v>
      </c>
      <c r="T142" s="81">
        <f t="shared" si="36"/>
        <v>8853538.968274567</v>
      </c>
      <c r="U142" s="81">
        <f t="shared" si="36"/>
        <v>9119145.137322804</v>
      </c>
      <c r="V142" s="81">
        <f t="shared" si="36"/>
        <v>9392719.491442487</v>
      </c>
      <c r="W142" s="81">
        <f t="shared" si="36"/>
        <v>9674501.076185763</v>
      </c>
      <c r="X142" s="81">
        <f t="shared" si="36"/>
        <v>9964736.108471338</v>
      </c>
      <c r="Y142" s="81">
        <f t="shared" si="36"/>
        <v>10263678.191725478</v>
      </c>
      <c r="Z142" s="81">
        <f t="shared" si="36"/>
        <v>10571588.537477244</v>
      </c>
      <c r="AA142" s="81">
        <f t="shared" si="36"/>
        <v>10888736.193601562</v>
      </c>
      <c r="AB142" s="81">
        <f t="shared" si="36"/>
        <v>11215398.279409606</v>
      </c>
      <c r="AC142" s="81">
        <f t="shared" si="36"/>
        <v>11551860.227791894</v>
      </c>
      <c r="AD142" s="81">
        <f t="shared" si="36"/>
        <v>11898416.034625653</v>
      </c>
      <c r="AE142" s="81">
        <f t="shared" si="36"/>
        <v>12255368.515664423</v>
      </c>
      <c r="AF142" s="81">
        <f t="shared" si="36"/>
        <v>12623029.571134357</v>
      </c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</row>
    <row r="143" spans="1:8" ht="12.75">
      <c r="A143" s="141"/>
      <c r="B143" s="121"/>
      <c r="C143" s="26"/>
      <c r="D143" s="26"/>
      <c r="E143" s="26"/>
      <c r="F143" s="26"/>
      <c r="G143" s="26"/>
      <c r="H143" s="26"/>
    </row>
    <row r="144" spans="1:32" ht="12.75">
      <c r="A144" s="77">
        <f>ROUND(NPV($C$26,C144:AD144),-5)</f>
        <v>10800000</v>
      </c>
      <c r="B144" s="26" t="s">
        <v>164</v>
      </c>
      <c r="C144" s="95">
        <f>C142-C137</f>
        <v>-621592.8171465313</v>
      </c>
      <c r="D144" s="95">
        <f aca="true" t="shared" si="37" ref="D144:AF144">D142-D137</f>
        <v>-507513.0282931039</v>
      </c>
      <c r="E144" s="95">
        <f t="shared" si="37"/>
        <v>-361822.71584270056</v>
      </c>
      <c r="F144" s="95">
        <f t="shared" si="37"/>
        <v>-212038.79754317366</v>
      </c>
      <c r="G144" s="95">
        <f t="shared" si="37"/>
        <v>-58044.00728954561</v>
      </c>
      <c r="H144" s="95">
        <f t="shared" si="37"/>
        <v>100282.32816490717</v>
      </c>
      <c r="I144" s="96">
        <f t="shared" si="37"/>
        <v>263064.3892060807</v>
      </c>
      <c r="J144" s="96">
        <f t="shared" si="37"/>
        <v>445727.2004011972</v>
      </c>
      <c r="K144" s="96">
        <f t="shared" si="37"/>
        <v>633869.8959321659</v>
      </c>
      <c r="L144" s="96">
        <f t="shared" si="37"/>
        <v>827656.8723290665</v>
      </c>
      <c r="M144" s="96">
        <f t="shared" si="37"/>
        <v>1027257.4580178689</v>
      </c>
      <c r="N144" s="96">
        <f t="shared" si="37"/>
        <v>1232846.0612773374</v>
      </c>
      <c r="O144" s="96">
        <f t="shared" si="37"/>
        <v>1444602.3226345917</v>
      </c>
      <c r="P144" s="96">
        <f t="shared" si="37"/>
        <v>1662711.2718325611</v>
      </c>
      <c r="Q144" s="96">
        <f t="shared" si="37"/>
        <v>1887363.4895064672</v>
      </c>
      <c r="R144" s="96">
        <f t="shared" si="37"/>
        <v>2118755.2737106</v>
      </c>
      <c r="S144" s="96">
        <f t="shared" si="37"/>
        <v>2357088.8114408497</v>
      </c>
      <c r="T144" s="96">
        <f t="shared" si="37"/>
        <v>2602572.355303008</v>
      </c>
      <c r="U144" s="96">
        <f t="shared" si="37"/>
        <v>2855420.405481031</v>
      </c>
      <c r="V144" s="96">
        <f t="shared" si="37"/>
        <v>3115853.897164393</v>
      </c>
      <c r="W144" s="96">
        <f t="shared" si="37"/>
        <v>3384100.3935982585</v>
      </c>
      <c r="X144" s="96">
        <f t="shared" si="37"/>
        <v>3660394.2849251404</v>
      </c>
      <c r="Y144" s="96">
        <f t="shared" si="37"/>
        <v>3944976.9929918293</v>
      </c>
      <c r="Z144" s="96">
        <f t="shared" si="37"/>
        <v>4238097.182300517</v>
      </c>
      <c r="AA144" s="96">
        <f t="shared" si="37"/>
        <v>4540010.977288466</v>
      </c>
      <c r="AB144" s="96">
        <f t="shared" si="37"/>
        <v>4938270.974625688</v>
      </c>
      <c r="AC144" s="96">
        <f t="shared" si="37"/>
        <v>5258571.319728401</v>
      </c>
      <c r="AD144" s="96">
        <f t="shared" si="37"/>
        <v>5588480.6751842</v>
      </c>
      <c r="AE144" s="96">
        <f t="shared" si="37"/>
        <v>11666694.506768458</v>
      </c>
      <c r="AF144" s="96">
        <f t="shared" si="37"/>
        <v>12016695.341971513</v>
      </c>
    </row>
    <row r="145" spans="1:32" ht="12.75">
      <c r="A145" s="25"/>
      <c r="B145" s="26" t="s">
        <v>165</v>
      </c>
      <c r="C145" s="95">
        <f>C144</f>
        <v>-621592.8171465313</v>
      </c>
      <c r="D145" s="95">
        <f>D144+C145</f>
        <v>-1129105.8454396352</v>
      </c>
      <c r="E145" s="95">
        <f>E144+D145</f>
        <v>-1490928.5612823358</v>
      </c>
      <c r="F145" s="95">
        <f aca="true" t="shared" si="38" ref="F145:AF145">F144+E145</f>
        <v>-1702967.3588255094</v>
      </c>
      <c r="G145" s="95">
        <f t="shared" si="38"/>
        <v>-1761011.366115055</v>
      </c>
      <c r="H145" s="95">
        <f t="shared" si="38"/>
        <v>-1660729.0379501479</v>
      </c>
      <c r="I145" s="96">
        <f t="shared" si="38"/>
        <v>-1397664.6487440672</v>
      </c>
      <c r="J145" s="96">
        <f t="shared" si="38"/>
        <v>-951937.44834287</v>
      </c>
      <c r="K145" s="96">
        <f t="shared" si="38"/>
        <v>-318067.5524107041</v>
      </c>
      <c r="L145" s="96">
        <f t="shared" si="38"/>
        <v>509589.3199183624</v>
      </c>
      <c r="M145" s="96">
        <f t="shared" si="38"/>
        <v>1536846.7779362313</v>
      </c>
      <c r="N145" s="96">
        <f t="shared" si="38"/>
        <v>2769692.8392135687</v>
      </c>
      <c r="O145" s="96">
        <f t="shared" si="38"/>
        <v>4214295.16184816</v>
      </c>
      <c r="P145" s="96">
        <f t="shared" si="38"/>
        <v>5877006.433680722</v>
      </c>
      <c r="Q145" s="96">
        <f t="shared" si="38"/>
        <v>7764369.923187189</v>
      </c>
      <c r="R145" s="96">
        <f t="shared" si="38"/>
        <v>9883125.19689779</v>
      </c>
      <c r="S145" s="96">
        <f t="shared" si="38"/>
        <v>12240214.00833864</v>
      </c>
      <c r="T145" s="96">
        <f t="shared" si="38"/>
        <v>14842786.363641648</v>
      </c>
      <c r="U145" s="96">
        <f t="shared" si="38"/>
        <v>17698206.76912268</v>
      </c>
      <c r="V145" s="96">
        <f t="shared" si="38"/>
        <v>20814060.666287072</v>
      </c>
      <c r="W145" s="96">
        <f t="shared" si="38"/>
        <v>24198161.05988533</v>
      </c>
      <c r="X145" s="96">
        <f t="shared" si="38"/>
        <v>27858555.34481047</v>
      </c>
      <c r="Y145" s="96">
        <f t="shared" si="38"/>
        <v>31803532.3378023</v>
      </c>
      <c r="Z145" s="96">
        <f t="shared" si="38"/>
        <v>36041629.520102814</v>
      </c>
      <c r="AA145" s="96">
        <f t="shared" si="38"/>
        <v>40581640.49739128</v>
      </c>
      <c r="AB145" s="96">
        <f t="shared" si="38"/>
        <v>45519911.472016975</v>
      </c>
      <c r="AC145" s="96">
        <f t="shared" si="38"/>
        <v>50778482.79174538</v>
      </c>
      <c r="AD145" s="96">
        <f t="shared" si="38"/>
        <v>56366963.46692958</v>
      </c>
      <c r="AE145" s="96">
        <f t="shared" si="38"/>
        <v>68033657.97369803</v>
      </c>
      <c r="AF145" s="96">
        <f t="shared" si="38"/>
        <v>80050353.31566955</v>
      </c>
    </row>
    <row r="146" spans="1:8" ht="12.75">
      <c r="A146" s="25"/>
      <c r="B146" s="26"/>
      <c r="C146" s="26"/>
      <c r="D146" s="26"/>
      <c r="E146" s="26"/>
      <c r="F146" s="26"/>
      <c r="G146" s="26"/>
      <c r="H146" s="26"/>
    </row>
    <row r="147" spans="1:10" ht="12.75" hidden="1">
      <c r="A147" s="78">
        <f>ROUND(NPV($C$26,C147:AD147),-5)</f>
        <v>-7300000</v>
      </c>
      <c r="B147" s="26" t="s">
        <v>166</v>
      </c>
      <c r="C147" s="95">
        <f>C80</f>
        <v>-1212762.7087995321</v>
      </c>
      <c r="D147" s="95">
        <f aca="true" t="shared" si="39" ref="D147:J147">D80</f>
        <v>-1229758.580063518</v>
      </c>
      <c r="E147" s="95">
        <f t="shared" si="39"/>
        <v>-1377989.5974654234</v>
      </c>
      <c r="F147" s="95">
        <f t="shared" si="39"/>
        <v>-1377829.6503893854</v>
      </c>
      <c r="G147" s="95">
        <f>G80</f>
        <v>-1411762.559901068</v>
      </c>
      <c r="H147" s="95">
        <f t="shared" si="39"/>
        <v>-1577438.7266981</v>
      </c>
      <c r="I147" s="96">
        <f>I80</f>
        <v>-1749282.2834990432</v>
      </c>
      <c r="J147" s="96">
        <f t="shared" si="39"/>
        <v>0</v>
      </c>
    </row>
    <row r="148" spans="1:8" ht="12.75" hidden="1">
      <c r="A148" s="25"/>
      <c r="B148" s="26"/>
      <c r="C148" s="26"/>
      <c r="D148" s="26"/>
      <c r="E148" s="26"/>
      <c r="F148" s="26"/>
      <c r="G148" s="26"/>
      <c r="H148" s="26"/>
    </row>
    <row r="149" spans="1:32" ht="12.75" hidden="1">
      <c r="A149" s="78">
        <f>ROUND(NPV($C$26,C149:AD149),-5)</f>
        <v>3600000</v>
      </c>
      <c r="B149" s="26" t="s">
        <v>167</v>
      </c>
      <c r="C149" s="95">
        <f>C144+C147</f>
        <v>-1834355.5259460635</v>
      </c>
      <c r="D149" s="95">
        <f>D144+D147</f>
        <v>-1737271.6083566218</v>
      </c>
      <c r="E149" s="95">
        <f aca="true" t="shared" si="40" ref="E149:AF149">E144+E147</f>
        <v>-1739812.313308124</v>
      </c>
      <c r="F149" s="95">
        <f t="shared" si="40"/>
        <v>-1589868.447932559</v>
      </c>
      <c r="G149" s="95">
        <f t="shared" si="40"/>
        <v>-1469806.5671906136</v>
      </c>
      <c r="H149" s="95">
        <f t="shared" si="40"/>
        <v>-1477156.398533193</v>
      </c>
      <c r="I149" s="96">
        <f t="shared" si="40"/>
        <v>-1486217.8942929625</v>
      </c>
      <c r="J149" s="96">
        <f t="shared" si="40"/>
        <v>445727.2004011972</v>
      </c>
      <c r="K149" s="96">
        <f t="shared" si="40"/>
        <v>633869.8959321659</v>
      </c>
      <c r="L149" s="96">
        <f t="shared" si="40"/>
        <v>827656.8723290665</v>
      </c>
      <c r="M149" s="96">
        <f t="shared" si="40"/>
        <v>1027257.4580178689</v>
      </c>
      <c r="N149" s="96">
        <f t="shared" si="40"/>
        <v>1232846.0612773374</v>
      </c>
      <c r="O149" s="96">
        <f t="shared" si="40"/>
        <v>1444602.3226345917</v>
      </c>
      <c r="P149" s="96">
        <f t="shared" si="40"/>
        <v>1662711.2718325611</v>
      </c>
      <c r="Q149" s="96">
        <f t="shared" si="40"/>
        <v>1887363.4895064672</v>
      </c>
      <c r="R149" s="96">
        <f t="shared" si="40"/>
        <v>2118755.2737106</v>
      </c>
      <c r="S149" s="96">
        <f t="shared" si="40"/>
        <v>2357088.8114408497</v>
      </c>
      <c r="T149" s="96">
        <f t="shared" si="40"/>
        <v>2602572.355303008</v>
      </c>
      <c r="U149" s="96">
        <f t="shared" si="40"/>
        <v>2855420.405481031</v>
      </c>
      <c r="V149" s="96">
        <f t="shared" si="40"/>
        <v>3115853.897164393</v>
      </c>
      <c r="W149" s="96">
        <f t="shared" si="40"/>
        <v>3384100.3935982585</v>
      </c>
      <c r="X149" s="96">
        <f t="shared" si="40"/>
        <v>3660394.2849251404</v>
      </c>
      <c r="Y149" s="96">
        <f t="shared" si="40"/>
        <v>3944976.9929918293</v>
      </c>
      <c r="Z149" s="96">
        <f t="shared" si="40"/>
        <v>4238097.182300517</v>
      </c>
      <c r="AA149" s="96">
        <f t="shared" si="40"/>
        <v>4540010.977288466</v>
      </c>
      <c r="AB149" s="96">
        <f t="shared" si="40"/>
        <v>4938270.974625688</v>
      </c>
      <c r="AC149" s="96">
        <f t="shared" si="40"/>
        <v>5258571.319728401</v>
      </c>
      <c r="AD149" s="96">
        <f t="shared" si="40"/>
        <v>5588480.6751842</v>
      </c>
      <c r="AE149" s="96">
        <f t="shared" si="40"/>
        <v>11666694.506768458</v>
      </c>
      <c r="AF149" s="96">
        <f t="shared" si="40"/>
        <v>12016695.341971513</v>
      </c>
    </row>
    <row r="150" spans="1:32" ht="12.75" hidden="1">
      <c r="A150" s="25"/>
      <c r="B150" s="26" t="s">
        <v>165</v>
      </c>
      <c r="C150" s="95">
        <f>C149</f>
        <v>-1834355.5259460635</v>
      </c>
      <c r="D150" s="95">
        <f>D149+C150</f>
        <v>-3571627.134302685</v>
      </c>
      <c r="E150" s="95">
        <f aca="true" t="shared" si="41" ref="E150:AF150">E149+D150</f>
        <v>-5311439.447610809</v>
      </c>
      <c r="F150" s="95">
        <f t="shared" si="41"/>
        <v>-6901307.895543368</v>
      </c>
      <c r="G150" s="95">
        <f t="shared" si="41"/>
        <v>-8371114.462733981</v>
      </c>
      <c r="H150" s="95">
        <f t="shared" si="41"/>
        <v>-9848270.861267174</v>
      </c>
      <c r="I150" s="96">
        <f t="shared" si="41"/>
        <v>-11334488.755560135</v>
      </c>
      <c r="J150" s="96">
        <f t="shared" si="41"/>
        <v>-10888761.55515894</v>
      </c>
      <c r="K150" s="96">
        <f t="shared" si="41"/>
        <v>-10254891.659226773</v>
      </c>
      <c r="L150" s="96">
        <f t="shared" si="41"/>
        <v>-9427234.786897708</v>
      </c>
      <c r="M150" s="96">
        <f t="shared" si="41"/>
        <v>-8399977.328879839</v>
      </c>
      <c r="N150" s="96">
        <f t="shared" si="41"/>
        <v>-7167131.267602501</v>
      </c>
      <c r="O150" s="96">
        <f t="shared" si="41"/>
        <v>-5722528.94496791</v>
      </c>
      <c r="P150" s="96">
        <f t="shared" si="41"/>
        <v>-4059817.6731353486</v>
      </c>
      <c r="Q150" s="96">
        <f t="shared" si="41"/>
        <v>-2172454.1836288814</v>
      </c>
      <c r="R150" s="96">
        <f t="shared" si="41"/>
        <v>-53698.90991828125</v>
      </c>
      <c r="S150" s="96">
        <f t="shared" si="41"/>
        <v>2303389.9015225684</v>
      </c>
      <c r="T150" s="96">
        <f t="shared" si="41"/>
        <v>4905962.256825577</v>
      </c>
      <c r="U150" s="96">
        <f t="shared" si="41"/>
        <v>7761382.662306608</v>
      </c>
      <c r="V150" s="96">
        <f t="shared" si="41"/>
        <v>10877236.559471</v>
      </c>
      <c r="W150" s="96">
        <f t="shared" si="41"/>
        <v>14261336.953069258</v>
      </c>
      <c r="X150" s="96">
        <f t="shared" si="41"/>
        <v>17921731.2379944</v>
      </c>
      <c r="Y150" s="96">
        <f t="shared" si="41"/>
        <v>21866708.23098623</v>
      </c>
      <c r="Z150" s="96">
        <f t="shared" si="41"/>
        <v>26104805.413286746</v>
      </c>
      <c r="AA150" s="96">
        <f t="shared" si="41"/>
        <v>30644816.39057521</v>
      </c>
      <c r="AB150" s="96">
        <f t="shared" si="41"/>
        <v>35583087.3652009</v>
      </c>
      <c r="AC150" s="96">
        <f t="shared" si="41"/>
        <v>40841658.6849293</v>
      </c>
      <c r="AD150" s="96">
        <f t="shared" si="41"/>
        <v>46430139.360113494</v>
      </c>
      <c r="AE150" s="96">
        <f t="shared" si="41"/>
        <v>58096833.86688195</v>
      </c>
      <c r="AF150" s="96">
        <f t="shared" si="41"/>
        <v>70113529.20885347</v>
      </c>
    </row>
    <row r="151" spans="1:32" ht="12.75">
      <c r="A151" s="25"/>
      <c r="B151" s="26"/>
      <c r="C151" s="95"/>
      <c r="D151" s="95"/>
      <c r="E151" s="95"/>
      <c r="F151" s="95"/>
      <c r="G151" s="95"/>
      <c r="H151" s="95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</row>
    <row r="152" spans="1:32" ht="12.75">
      <c r="A152" s="142">
        <f>ROUND(NPV($C$26,C152:AD152),0)</f>
        <v>237</v>
      </c>
      <c r="B152" s="28" t="s">
        <v>168</v>
      </c>
      <c r="C152" s="143">
        <f>C137/'[1]KC format'!$P$13</f>
        <v>21.121498987668375</v>
      </c>
      <c r="D152" s="143">
        <f>D137/'[1]KC format'!$P$13</f>
        <v>21.148300625635468</v>
      </c>
      <c r="E152" s="143">
        <f>E137/'[1]KC format'!$P$13</f>
        <v>21.175906312741567</v>
      </c>
      <c r="F152" s="143">
        <f>F137/'[1]KC format'!$P$13</f>
        <v>21.20434017046085</v>
      </c>
      <c r="G152" s="143">
        <f>G137/'[1]KC format'!$P$13</f>
        <v>21.233627043911714</v>
      </c>
      <c r="H152" s="143">
        <f>H137/'[1]KC format'!$P$13</f>
        <v>21.26379252356611</v>
      </c>
      <c r="I152" s="144">
        <f>I137/'[1]KC format'!$P$13</f>
        <v>21.294862967610133</v>
      </c>
      <c r="J152" s="144">
        <f>J137/'[1]KC format'!$P$13</f>
        <v>21.326865524975474</v>
      </c>
      <c r="K152" s="144">
        <f>K137/'[1]KC format'!$P$13</f>
        <v>21.359828159061777</v>
      </c>
      <c r="L152" s="144">
        <f>L137/'[1]KC format'!$P$13</f>
        <v>21.393779672170666</v>
      </c>
      <c r="M152" s="144">
        <f>M137/'[1]KC format'!$P$13</f>
        <v>21.42874973067283</v>
      </c>
      <c r="N152" s="144">
        <f>N137/'[1]KC format'!$P$13</f>
        <v>21.464768890930056</v>
      </c>
      <c r="O152" s="144">
        <f>O137/'[1]KC format'!$P$13</f>
        <v>21.50186862599499</v>
      </c>
      <c r="P152" s="144">
        <f>P137/'[1]KC format'!$P$13</f>
        <v>21.540081353111884</v>
      </c>
      <c r="Q152" s="144">
        <f>Q137/'[1]KC format'!$P$13</f>
        <v>21.57944046204228</v>
      </c>
      <c r="R152" s="144">
        <f>R137/'[1]KC format'!$P$13</f>
        <v>21.61998034424058</v>
      </c>
      <c r="S152" s="144">
        <f>S137/'[1]KC format'!$P$13</f>
        <v>21.661736422904838</v>
      </c>
      <c r="T152" s="144">
        <f>T137/'[1]KC format'!$P$13</f>
        <v>21.704745183929024</v>
      </c>
      <c r="U152" s="144">
        <f>U137/'[1]KC format'!$P$13</f>
        <v>21.749044207783932</v>
      </c>
      <c r="V152" s="144">
        <f>V137/'[1]KC format'!$P$13</f>
        <v>21.79467220235449</v>
      </c>
      <c r="W152" s="144">
        <f>W137/'[1]KC format'!$P$13</f>
        <v>21.84166903676217</v>
      </c>
      <c r="X152" s="144">
        <f>X137/'[1]KC format'!$P$13</f>
        <v>21.890075776202075</v>
      </c>
      <c r="Y152" s="144">
        <f>Y137/'[1]KC format'!$P$13</f>
        <v>21.939934717825167</v>
      </c>
      <c r="Z152" s="144">
        <f>Z137/'[1]KC format'!$P$13</f>
        <v>21.991289427696966</v>
      </c>
      <c r="AA152" s="144">
        <f>AA137/'[1]KC format'!$P$13</f>
        <v>22.044184778864917</v>
      </c>
      <c r="AB152" s="144">
        <f>AB137/'[1]KC format'!$P$13</f>
        <v>21.795580919388605</v>
      </c>
      <c r="AC152" s="144">
        <f>AC137/'[1]KC format'!$P$13</f>
        <v>21.851697597442687</v>
      </c>
      <c r="AD152" s="144">
        <f>AD137/'[1]KC format'!$P$13</f>
        <v>21.909497775838382</v>
      </c>
      <c r="AE152" s="144">
        <f>AE137/'[1]KC format'!$P$13</f>
        <v>2.0440069753332133</v>
      </c>
      <c r="AF152" s="144">
        <f>AF137/'[1]KC format'!$P$13</f>
        <v>2.1053271845932096</v>
      </c>
    </row>
    <row r="153" spans="1:63" s="4" customFormat="1" ht="12.75">
      <c r="A153" s="142">
        <f>ROUND(NPV($C$26,C153:AD153),0)</f>
        <v>186</v>
      </c>
      <c r="B153" s="145" t="s">
        <v>169</v>
      </c>
      <c r="C153" s="54">
        <f>C152/(1+$C$25)^(C134-1)</f>
        <v>21.121498987668375</v>
      </c>
      <c r="D153" s="54">
        <f>D152/(1+$C$25)^(D134-1)</f>
        <v>20.532330704500453</v>
      </c>
      <c r="E153" s="54">
        <f>E152/(1+$C$25)^(E134-1)</f>
        <v>19.960322662589846</v>
      </c>
      <c r="F153" s="54">
        <f aca="true" t="shared" si="42" ref="F153:AF153">F152/(1+$C$25)^(F134-1)</f>
        <v>19.4049750490844</v>
      </c>
      <c r="G153" s="54">
        <f t="shared" si="42"/>
        <v>18.865802608787856</v>
      </c>
      <c r="H153" s="54">
        <f t="shared" si="42"/>
        <v>18.342334220150438</v>
      </c>
      <c r="I153" s="146">
        <f t="shared" si="42"/>
        <v>17.83411248360925</v>
      </c>
      <c r="J153" s="146">
        <f t="shared" si="42"/>
        <v>17.340693321918778</v>
      </c>
      <c r="K153" s="146">
        <f t="shared" si="42"/>
        <v>16.8616455921222</v>
      </c>
      <c r="L153" s="146">
        <f t="shared" si="42"/>
        <v>16.396550708824552</v>
      </c>
      <c r="M153" s="146">
        <f t="shared" si="42"/>
        <v>15.945002278438492</v>
      </c>
      <c r="N153" s="146">
        <f t="shared" si="42"/>
        <v>15.50660574408309</v>
      </c>
      <c r="O153" s="146">
        <f t="shared" si="42"/>
        <v>15.080978040825416</v>
      </c>
      <c r="P153" s="146">
        <f t="shared" si="42"/>
        <v>14.667747260963601</v>
      </c>
      <c r="Q153" s="146">
        <f t="shared" si="42"/>
        <v>14.266552329058925</v>
      </c>
      <c r="R153" s="146">
        <f t="shared" si="42"/>
        <v>13.877042686433018</v>
      </c>
      <c r="S153" s="146">
        <f t="shared" si="42"/>
        <v>13.498877984854477</v>
      </c>
      <c r="T153" s="146">
        <f t="shared" si="42"/>
        <v>13.131727789147153</v>
      </c>
      <c r="U153" s="146">
        <f t="shared" si="42"/>
        <v>12.775271288460429</v>
      </c>
      <c r="V153" s="146">
        <f t="shared" si="42"/>
        <v>12.42919701594905</v>
      </c>
      <c r="W153" s="146">
        <f t="shared" si="42"/>
        <v>12.093202576617614</v>
      </c>
      <c r="X153" s="146">
        <f t="shared" si="42"/>
        <v>11.766994383091948</v>
      </c>
      <c r="Y153" s="146">
        <f t="shared" si="42"/>
        <v>11.45028739908644</v>
      </c>
      <c r="Z153" s="146">
        <f t="shared" si="42"/>
        <v>11.142804890343236</v>
      </c>
      <c r="AA153" s="146">
        <f t="shared" si="42"/>
        <v>10.844278182825562</v>
      </c>
      <c r="AB153" s="146">
        <f t="shared" si="42"/>
        <v>10.409690832393162</v>
      </c>
      <c r="AC153" s="146">
        <f t="shared" si="42"/>
        <v>10.13251696151481</v>
      </c>
      <c r="AD153" s="146">
        <f t="shared" si="42"/>
        <v>9.863416116001844</v>
      </c>
      <c r="AE153" s="146">
        <f t="shared" si="42"/>
        <v>0.893387932236343</v>
      </c>
      <c r="AF153" s="146">
        <f t="shared" si="42"/>
        <v>0.893387932236343</v>
      </c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</row>
    <row r="154" spans="1:63" s="136" customFormat="1" ht="12.75">
      <c r="A154" s="131"/>
      <c r="B154" s="134"/>
      <c r="C154" s="134"/>
      <c r="D154" s="134"/>
      <c r="E154" s="134"/>
      <c r="F154" s="134"/>
      <c r="G154" s="134"/>
      <c r="H154" s="13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</row>
    <row r="155" spans="1:8" ht="15.75">
      <c r="A155" s="147"/>
      <c r="B155" s="137" t="s">
        <v>100</v>
      </c>
      <c r="C155" s="26"/>
      <c r="D155" s="26"/>
      <c r="E155" s="26"/>
      <c r="F155" s="26"/>
      <c r="G155" s="26"/>
      <c r="H155" s="26"/>
    </row>
    <row r="156" spans="1:32" ht="12.75">
      <c r="A156" s="147"/>
      <c r="B156" s="28" t="s">
        <v>170</v>
      </c>
      <c r="C156" s="26">
        <f>C135</f>
        <v>2007</v>
      </c>
      <c r="D156" s="26">
        <f>D135</f>
        <v>2008</v>
      </c>
      <c r="E156" s="26">
        <f aca="true" t="shared" si="43" ref="E156:AF156">E135</f>
        <v>2009</v>
      </c>
      <c r="F156" s="26">
        <f t="shared" si="43"/>
        <v>2010</v>
      </c>
      <c r="G156" s="26">
        <f t="shared" si="43"/>
        <v>2011</v>
      </c>
      <c r="H156" s="26">
        <f t="shared" si="43"/>
        <v>2012</v>
      </c>
      <c r="I156" s="18">
        <f t="shared" si="43"/>
        <v>2013</v>
      </c>
      <c r="J156" s="18">
        <f t="shared" si="43"/>
        <v>2014</v>
      </c>
      <c r="K156" s="18">
        <f t="shared" si="43"/>
        <v>2015</v>
      </c>
      <c r="L156" s="18">
        <f t="shared" si="43"/>
        <v>2016</v>
      </c>
      <c r="M156" s="18">
        <f t="shared" si="43"/>
        <v>2017</v>
      </c>
      <c r="N156" s="18">
        <f t="shared" si="43"/>
        <v>2018</v>
      </c>
      <c r="O156" s="18">
        <f t="shared" si="43"/>
        <v>2019</v>
      </c>
      <c r="P156" s="18">
        <f t="shared" si="43"/>
        <v>2020</v>
      </c>
      <c r="Q156" s="18">
        <f t="shared" si="43"/>
        <v>2021</v>
      </c>
      <c r="R156" s="18">
        <f t="shared" si="43"/>
        <v>2022</v>
      </c>
      <c r="S156" s="18">
        <f t="shared" si="43"/>
        <v>2023</v>
      </c>
      <c r="T156" s="18">
        <f t="shared" si="43"/>
        <v>2024</v>
      </c>
      <c r="U156" s="18">
        <f t="shared" si="43"/>
        <v>2025</v>
      </c>
      <c r="V156" s="18">
        <f t="shared" si="43"/>
        <v>2026</v>
      </c>
      <c r="W156" s="18">
        <f t="shared" si="43"/>
        <v>2027</v>
      </c>
      <c r="X156" s="18">
        <f t="shared" si="43"/>
        <v>2028</v>
      </c>
      <c r="Y156" s="18">
        <f t="shared" si="43"/>
        <v>2029</v>
      </c>
      <c r="Z156" s="18">
        <f t="shared" si="43"/>
        <v>2030</v>
      </c>
      <c r="AA156" s="18">
        <f t="shared" si="43"/>
        <v>2031</v>
      </c>
      <c r="AB156" s="18">
        <f t="shared" si="43"/>
        <v>2032</v>
      </c>
      <c r="AC156" s="18">
        <f t="shared" si="43"/>
        <v>2033</v>
      </c>
      <c r="AD156" s="18">
        <f t="shared" si="43"/>
        <v>2034</v>
      </c>
      <c r="AE156" s="18">
        <f t="shared" si="43"/>
        <v>2035</v>
      </c>
      <c r="AF156" s="18">
        <f t="shared" si="43"/>
        <v>2036</v>
      </c>
    </row>
    <row r="157" spans="1:32" ht="12.75">
      <c r="A157" s="77">
        <f>ROUND(NPV($C$26,C157:AD157),-5)</f>
        <v>68100000</v>
      </c>
      <c r="B157" s="26" t="s">
        <v>171</v>
      </c>
      <c r="C157" s="95">
        <f>C137</f>
        <v>6082991.708448492</v>
      </c>
      <c r="D157" s="95">
        <f>D137</f>
        <v>6090710.580183014</v>
      </c>
      <c r="E157" s="95">
        <f aca="true" t="shared" si="44" ref="E157:AF157">E137</f>
        <v>6098661.018069571</v>
      </c>
      <c r="F157" s="95">
        <f t="shared" si="44"/>
        <v>6106849.969092725</v>
      </c>
      <c r="G157" s="95">
        <f t="shared" si="44"/>
        <v>6115284.588646574</v>
      </c>
      <c r="H157" s="95">
        <f t="shared" si="44"/>
        <v>6123972.24678704</v>
      </c>
      <c r="I157" s="96">
        <f t="shared" si="44"/>
        <v>6132920.534671718</v>
      </c>
      <c r="J157" s="96">
        <f t="shared" si="44"/>
        <v>6142137.271192936</v>
      </c>
      <c r="K157" s="96">
        <f t="shared" si="44"/>
        <v>6151630.509809792</v>
      </c>
      <c r="L157" s="96">
        <f t="shared" si="44"/>
        <v>6161408.545585152</v>
      </c>
      <c r="M157" s="96">
        <f t="shared" si="44"/>
        <v>6171479.922433775</v>
      </c>
      <c r="N157" s="96">
        <f t="shared" si="44"/>
        <v>6181853.440587856</v>
      </c>
      <c r="O157" s="96">
        <f t="shared" si="44"/>
        <v>6192538.164286558</v>
      </c>
      <c r="P157" s="96">
        <f t="shared" si="44"/>
        <v>6203543.429696223</v>
      </c>
      <c r="Q157" s="96">
        <f t="shared" si="44"/>
        <v>6214878.853068177</v>
      </c>
      <c r="R157" s="96">
        <f t="shared" si="44"/>
        <v>6226554.339141287</v>
      </c>
      <c r="S157" s="96">
        <f t="shared" si="44"/>
        <v>6238580.089796593</v>
      </c>
      <c r="T157" s="96">
        <f t="shared" si="44"/>
        <v>6250966.612971559</v>
      </c>
      <c r="U157" s="96">
        <f t="shared" si="44"/>
        <v>6263724.731841773</v>
      </c>
      <c r="V157" s="96">
        <f t="shared" si="44"/>
        <v>6276865.594278093</v>
      </c>
      <c r="W157" s="96">
        <f t="shared" si="44"/>
        <v>6290400.682587504</v>
      </c>
      <c r="X157" s="96">
        <f t="shared" si="44"/>
        <v>6304341.823546197</v>
      </c>
      <c r="Y157" s="96">
        <f t="shared" si="44"/>
        <v>6318701.198733648</v>
      </c>
      <c r="Z157" s="96">
        <f t="shared" si="44"/>
        <v>6333491.355176726</v>
      </c>
      <c r="AA157" s="96">
        <f t="shared" si="44"/>
        <v>6348725.216313096</v>
      </c>
      <c r="AB157" s="96">
        <f t="shared" si="44"/>
        <v>6277127.304783918</v>
      </c>
      <c r="AC157" s="96">
        <f t="shared" si="44"/>
        <v>6293288.908063494</v>
      </c>
      <c r="AD157" s="96">
        <f t="shared" si="44"/>
        <v>6309935.359441454</v>
      </c>
      <c r="AE157" s="96">
        <f t="shared" si="44"/>
        <v>588674.0088959654</v>
      </c>
      <c r="AF157" s="96">
        <f t="shared" si="44"/>
        <v>606334.2291628444</v>
      </c>
    </row>
    <row r="158" spans="1:32" ht="12.75">
      <c r="A158" s="77">
        <f>ROUND(NPV($C$26,C158:AD158),-5)</f>
        <v>14100000</v>
      </c>
      <c r="B158" s="26" t="s">
        <v>172</v>
      </c>
      <c r="C158" s="95">
        <f>C100</f>
        <v>1279214.894530998</v>
      </c>
      <c r="D158" s="95">
        <f>D100</f>
        <v>1279214.894530998</v>
      </c>
      <c r="E158" s="95">
        <f aca="true" t="shared" si="45" ref="E158:AF158">E100</f>
        <v>1279214.894530998</v>
      </c>
      <c r="F158" s="95">
        <f t="shared" si="45"/>
        <v>1279214.894530998</v>
      </c>
      <c r="G158" s="95">
        <f t="shared" si="45"/>
        <v>1279214.894530998</v>
      </c>
      <c r="H158" s="95">
        <f t="shared" si="45"/>
        <v>1279214.894530998</v>
      </c>
      <c r="I158" s="96">
        <f t="shared" si="45"/>
        <v>1279214.894530998</v>
      </c>
      <c r="J158" s="96">
        <f t="shared" si="45"/>
        <v>1279214.894530998</v>
      </c>
      <c r="K158" s="96">
        <f t="shared" si="45"/>
        <v>1279214.894530998</v>
      </c>
      <c r="L158" s="96">
        <f t="shared" si="45"/>
        <v>1279214.894530998</v>
      </c>
      <c r="M158" s="96">
        <f t="shared" si="45"/>
        <v>1279214.894530998</v>
      </c>
      <c r="N158" s="96">
        <f t="shared" si="45"/>
        <v>1279214.894530998</v>
      </c>
      <c r="O158" s="96">
        <f t="shared" si="45"/>
        <v>1279214.894530998</v>
      </c>
      <c r="P158" s="96">
        <f t="shared" si="45"/>
        <v>1279214.894530998</v>
      </c>
      <c r="Q158" s="96">
        <f t="shared" si="45"/>
        <v>1279214.894530998</v>
      </c>
      <c r="R158" s="96">
        <f t="shared" si="45"/>
        <v>1279214.894530998</v>
      </c>
      <c r="S158" s="96">
        <f t="shared" si="45"/>
        <v>1279214.894530998</v>
      </c>
      <c r="T158" s="96">
        <f t="shared" si="45"/>
        <v>1279214.894530998</v>
      </c>
      <c r="U158" s="96">
        <f t="shared" si="45"/>
        <v>1279214.894530998</v>
      </c>
      <c r="V158" s="96">
        <f t="shared" si="45"/>
        <v>1279214.894530998</v>
      </c>
      <c r="W158" s="96">
        <f t="shared" si="45"/>
        <v>1279214.894530998</v>
      </c>
      <c r="X158" s="96">
        <f t="shared" si="45"/>
        <v>1279214.894530998</v>
      </c>
      <c r="Y158" s="96">
        <f t="shared" si="45"/>
        <v>1279214.894530998</v>
      </c>
      <c r="Z158" s="96">
        <f t="shared" si="45"/>
        <v>1279214.894530998</v>
      </c>
      <c r="AA158" s="96">
        <f t="shared" si="45"/>
        <v>1279214.894530998</v>
      </c>
      <c r="AB158" s="96">
        <f t="shared" si="45"/>
        <v>1279214.894530998</v>
      </c>
      <c r="AC158" s="96">
        <f t="shared" si="45"/>
        <v>1279214.894530998</v>
      </c>
      <c r="AD158" s="96">
        <f t="shared" si="45"/>
        <v>1279214.894530998</v>
      </c>
      <c r="AE158" s="96">
        <f t="shared" si="45"/>
        <v>0</v>
      </c>
      <c r="AF158" s="96">
        <f t="shared" si="45"/>
        <v>0</v>
      </c>
    </row>
    <row r="159" spans="1:32" ht="12.75">
      <c r="A159" s="77">
        <f>ROUND(NPV($C$26,C159:AD159),-5)</f>
        <v>82300000</v>
      </c>
      <c r="B159" s="73" t="s">
        <v>107</v>
      </c>
      <c r="C159" s="80">
        <f>SUM(C157:C158)</f>
        <v>7362206.6029794905</v>
      </c>
      <c r="D159" s="80">
        <f>SUM(D157:D158)</f>
        <v>7369925.474714013</v>
      </c>
      <c r="E159" s="80">
        <f aca="true" t="shared" si="46" ref="E159:AF159">SUM(E157:E158)</f>
        <v>7377875.912600569</v>
      </c>
      <c r="F159" s="80">
        <f t="shared" si="46"/>
        <v>7386064.863623723</v>
      </c>
      <c r="G159" s="80">
        <f t="shared" si="46"/>
        <v>7394499.4831775725</v>
      </c>
      <c r="H159" s="80">
        <f t="shared" si="46"/>
        <v>7403187.141318038</v>
      </c>
      <c r="I159" s="81">
        <f t="shared" si="46"/>
        <v>7412135.429202717</v>
      </c>
      <c r="J159" s="81">
        <f t="shared" si="46"/>
        <v>7421352.165723935</v>
      </c>
      <c r="K159" s="81">
        <f t="shared" si="46"/>
        <v>7430845.404340791</v>
      </c>
      <c r="L159" s="81">
        <f t="shared" si="46"/>
        <v>7440623.44011615</v>
      </c>
      <c r="M159" s="81">
        <f t="shared" si="46"/>
        <v>7450694.816964773</v>
      </c>
      <c r="N159" s="81">
        <f t="shared" si="46"/>
        <v>7461068.335118854</v>
      </c>
      <c r="O159" s="81">
        <f t="shared" si="46"/>
        <v>7471753.058817556</v>
      </c>
      <c r="P159" s="81">
        <f t="shared" si="46"/>
        <v>7482758.324227221</v>
      </c>
      <c r="Q159" s="81">
        <f t="shared" si="46"/>
        <v>7494093.747599175</v>
      </c>
      <c r="R159" s="81">
        <f t="shared" si="46"/>
        <v>7505769.233672285</v>
      </c>
      <c r="S159" s="81">
        <f t="shared" si="46"/>
        <v>7517794.984327592</v>
      </c>
      <c r="T159" s="81">
        <f t="shared" si="46"/>
        <v>7530181.507502558</v>
      </c>
      <c r="U159" s="81">
        <f t="shared" si="46"/>
        <v>7542939.626372771</v>
      </c>
      <c r="V159" s="81">
        <f t="shared" si="46"/>
        <v>7556080.488809092</v>
      </c>
      <c r="W159" s="81">
        <f t="shared" si="46"/>
        <v>7569615.577118503</v>
      </c>
      <c r="X159" s="81">
        <f t="shared" si="46"/>
        <v>7583556.718077196</v>
      </c>
      <c r="Y159" s="81">
        <f t="shared" si="46"/>
        <v>7597916.093264647</v>
      </c>
      <c r="Z159" s="81">
        <f t="shared" si="46"/>
        <v>7612706.249707725</v>
      </c>
      <c r="AA159" s="81">
        <f t="shared" si="46"/>
        <v>7627940.110844094</v>
      </c>
      <c r="AB159" s="81">
        <f t="shared" si="46"/>
        <v>7556342.1993149165</v>
      </c>
      <c r="AC159" s="81">
        <f t="shared" si="46"/>
        <v>7572503.802594492</v>
      </c>
      <c r="AD159" s="81">
        <f t="shared" si="46"/>
        <v>7589150.253972452</v>
      </c>
      <c r="AE159" s="81">
        <f t="shared" si="46"/>
        <v>588674.0088959654</v>
      </c>
      <c r="AF159" s="81">
        <f t="shared" si="46"/>
        <v>606334.2291628444</v>
      </c>
    </row>
    <row r="160" spans="1:8" ht="12.75">
      <c r="A160" s="147"/>
      <c r="B160" s="26"/>
      <c r="C160" s="26"/>
      <c r="D160" s="26"/>
      <c r="E160" s="26"/>
      <c r="F160" s="26"/>
      <c r="G160" s="26"/>
      <c r="H160" s="26"/>
    </row>
    <row r="161" spans="1:32" ht="12.75">
      <c r="A161" s="77">
        <f>ROUND(NPV($C$26,C161:AD161),-5)</f>
        <v>79000000</v>
      </c>
      <c r="B161" s="26" t="s">
        <v>173</v>
      </c>
      <c r="C161" s="95">
        <f>C142</f>
        <v>5461398.891301961</v>
      </c>
      <c r="D161" s="95">
        <f>D142</f>
        <v>5583197.55188991</v>
      </c>
      <c r="E161" s="95">
        <f aca="true" t="shared" si="47" ref="E161:AF161">E142</f>
        <v>5736838.30222687</v>
      </c>
      <c r="F161" s="95">
        <f t="shared" si="47"/>
        <v>5894811.171549551</v>
      </c>
      <c r="G161" s="95">
        <f t="shared" si="47"/>
        <v>6057240.581357028</v>
      </c>
      <c r="H161" s="95">
        <f t="shared" si="47"/>
        <v>6224254.574951947</v>
      </c>
      <c r="I161" s="96">
        <f t="shared" si="47"/>
        <v>6395984.923877799</v>
      </c>
      <c r="J161" s="96">
        <f t="shared" si="47"/>
        <v>6587864.471594133</v>
      </c>
      <c r="K161" s="96">
        <f t="shared" si="47"/>
        <v>6785500.405741958</v>
      </c>
      <c r="L161" s="96">
        <f t="shared" si="47"/>
        <v>6989065.417914218</v>
      </c>
      <c r="M161" s="96">
        <f t="shared" si="47"/>
        <v>7198737.380451644</v>
      </c>
      <c r="N161" s="96">
        <f t="shared" si="47"/>
        <v>7414699.501865193</v>
      </c>
      <c r="O161" s="96">
        <f t="shared" si="47"/>
        <v>7637140.486921149</v>
      </c>
      <c r="P161" s="96">
        <f t="shared" si="47"/>
        <v>7866254.701528784</v>
      </c>
      <c r="Q161" s="96">
        <f t="shared" si="47"/>
        <v>8102242.342574644</v>
      </c>
      <c r="R161" s="96">
        <f t="shared" si="47"/>
        <v>8345309.612851887</v>
      </c>
      <c r="S161" s="96">
        <f t="shared" si="47"/>
        <v>8595668.901237443</v>
      </c>
      <c r="T161" s="96">
        <f t="shared" si="47"/>
        <v>8853538.968274567</v>
      </c>
      <c r="U161" s="96">
        <f t="shared" si="47"/>
        <v>9119145.137322804</v>
      </c>
      <c r="V161" s="96">
        <f t="shared" si="47"/>
        <v>9392719.491442487</v>
      </c>
      <c r="W161" s="96">
        <f t="shared" si="47"/>
        <v>9674501.076185763</v>
      </c>
      <c r="X161" s="96">
        <f t="shared" si="47"/>
        <v>9964736.108471338</v>
      </c>
      <c r="Y161" s="96">
        <f t="shared" si="47"/>
        <v>10263678.191725478</v>
      </c>
      <c r="Z161" s="96">
        <f t="shared" si="47"/>
        <v>10571588.537477244</v>
      </c>
      <c r="AA161" s="96">
        <f t="shared" si="47"/>
        <v>10888736.193601562</v>
      </c>
      <c r="AB161" s="96">
        <f t="shared" si="47"/>
        <v>11215398.279409606</v>
      </c>
      <c r="AC161" s="96">
        <f t="shared" si="47"/>
        <v>11551860.227791894</v>
      </c>
      <c r="AD161" s="96">
        <f t="shared" si="47"/>
        <v>11898416.034625653</v>
      </c>
      <c r="AE161" s="96">
        <f t="shared" si="47"/>
        <v>12255368.515664423</v>
      </c>
      <c r="AF161" s="96">
        <f t="shared" si="47"/>
        <v>12623029.571134357</v>
      </c>
    </row>
    <row r="162" spans="1:32" ht="12.75">
      <c r="A162" s="77">
        <f>ROUND(NPV($C$26,C162:AD162),-5)</f>
        <v>19500000</v>
      </c>
      <c r="B162" s="26" t="s">
        <v>174</v>
      </c>
      <c r="C162" s="95">
        <f>C106-C113</f>
        <v>1264643.211798489</v>
      </c>
      <c r="D162" s="95">
        <f>D106-D113</f>
        <v>1370823.9903429959</v>
      </c>
      <c r="E162" s="95">
        <f aca="true" t="shared" si="48" ref="E162:AF162">E106-E113</f>
        <v>1411948.7100532858</v>
      </c>
      <c r="F162" s="95">
        <f t="shared" si="48"/>
        <v>1454307.1713548843</v>
      </c>
      <c r="G162" s="95">
        <f t="shared" si="48"/>
        <v>1497936.386495531</v>
      </c>
      <c r="H162" s="95">
        <f t="shared" si="48"/>
        <v>1542874.4780903968</v>
      </c>
      <c r="I162" s="96">
        <f t="shared" si="48"/>
        <v>1589160.712433109</v>
      </c>
      <c r="J162" s="96">
        <f t="shared" si="48"/>
        <v>1636835.5338061028</v>
      </c>
      <c r="K162" s="96">
        <f t="shared" si="48"/>
        <v>1685940.5998202858</v>
      </c>
      <c r="L162" s="96">
        <f t="shared" si="48"/>
        <v>1736518.8178148945</v>
      </c>
      <c r="M162" s="96">
        <f t="shared" si="48"/>
        <v>1788614.3823493416</v>
      </c>
      <c r="N162" s="96">
        <f t="shared" si="48"/>
        <v>1842272.813819822</v>
      </c>
      <c r="O162" s="96">
        <f t="shared" si="48"/>
        <v>1897540.9982344168</v>
      </c>
      <c r="P162" s="96">
        <f t="shared" si="48"/>
        <v>1954467.2281814497</v>
      </c>
      <c r="Q162" s="96">
        <f t="shared" si="48"/>
        <v>2013101.2450268934</v>
      </c>
      <c r="R162" s="96">
        <f t="shared" si="48"/>
        <v>2073494.2823777003</v>
      </c>
      <c r="S162" s="96">
        <f t="shared" si="48"/>
        <v>2135699.1108490312</v>
      </c>
      <c r="T162" s="96">
        <f t="shared" si="48"/>
        <v>2199770.0841745026</v>
      </c>
      <c r="U162" s="96">
        <f t="shared" si="48"/>
        <v>2265763.1866997387</v>
      </c>
      <c r="V162" s="96">
        <f t="shared" si="48"/>
        <v>2333736.082300731</v>
      </c>
      <c r="W162" s="96">
        <f t="shared" si="48"/>
        <v>2403748.1647697524</v>
      </c>
      <c r="X162" s="96">
        <f t="shared" si="48"/>
        <v>2475860.609712846</v>
      </c>
      <c r="Y162" s="96">
        <f t="shared" si="48"/>
        <v>2550136.4280042313</v>
      </c>
      <c r="Z162" s="96">
        <f t="shared" si="48"/>
        <v>2626640.5208443576</v>
      </c>
      <c r="AA162" s="96">
        <f t="shared" si="48"/>
        <v>2705439.736469689</v>
      </c>
      <c r="AB162" s="96">
        <f t="shared" si="48"/>
        <v>2786602.9285637797</v>
      </c>
      <c r="AC162" s="96">
        <f t="shared" si="48"/>
        <v>2870201.0164206927</v>
      </c>
      <c r="AD162" s="96">
        <f t="shared" si="48"/>
        <v>2956307.0469133137</v>
      </c>
      <c r="AE162" s="96">
        <f t="shared" si="48"/>
        <v>3044996.2583207134</v>
      </c>
      <c r="AF162" s="96">
        <f t="shared" si="48"/>
        <v>3136346.1460703355</v>
      </c>
    </row>
    <row r="163" spans="1:32" ht="12.75">
      <c r="A163" s="77">
        <f>ROUND(NPV($C$26,C163:AD163),-5)</f>
        <v>98500000</v>
      </c>
      <c r="B163" s="73" t="s">
        <v>175</v>
      </c>
      <c r="C163" s="80">
        <f>SUM(C161:C162)</f>
        <v>6726042.10310045</v>
      </c>
      <c r="D163" s="80">
        <f>SUM(D161:D162)</f>
        <v>6954021.542232906</v>
      </c>
      <c r="E163" s="80">
        <f aca="true" t="shared" si="49" ref="E163:AF163">SUM(E161:E162)</f>
        <v>7148787.012280156</v>
      </c>
      <c r="F163" s="80">
        <f t="shared" si="49"/>
        <v>7349118.3429044355</v>
      </c>
      <c r="G163" s="80">
        <f t="shared" si="49"/>
        <v>7555176.967852559</v>
      </c>
      <c r="H163" s="80">
        <f t="shared" si="49"/>
        <v>7767129.053042344</v>
      </c>
      <c r="I163" s="81">
        <f t="shared" si="49"/>
        <v>7985145.636310908</v>
      </c>
      <c r="J163" s="81">
        <f t="shared" si="49"/>
        <v>8224700.005400237</v>
      </c>
      <c r="K163" s="81">
        <f t="shared" si="49"/>
        <v>8471441.005562244</v>
      </c>
      <c r="L163" s="81">
        <f t="shared" si="49"/>
        <v>8725584.235729113</v>
      </c>
      <c r="M163" s="81">
        <f t="shared" si="49"/>
        <v>8987351.762800986</v>
      </c>
      <c r="N163" s="81">
        <f t="shared" si="49"/>
        <v>9256972.315685015</v>
      </c>
      <c r="O163" s="81">
        <f t="shared" si="49"/>
        <v>9534681.485155566</v>
      </c>
      <c r="P163" s="81">
        <f t="shared" si="49"/>
        <v>9820721.929710234</v>
      </c>
      <c r="Q163" s="81">
        <f t="shared" si="49"/>
        <v>10115343.587601537</v>
      </c>
      <c r="R163" s="81">
        <f t="shared" si="49"/>
        <v>10418803.895229587</v>
      </c>
      <c r="S163" s="81">
        <f t="shared" si="49"/>
        <v>10731368.012086473</v>
      </c>
      <c r="T163" s="81">
        <f t="shared" si="49"/>
        <v>11053309.05244907</v>
      </c>
      <c r="U163" s="81">
        <f t="shared" si="49"/>
        <v>11384908.324022543</v>
      </c>
      <c r="V163" s="81">
        <f t="shared" si="49"/>
        <v>11726455.573743217</v>
      </c>
      <c r="W163" s="81">
        <f t="shared" si="49"/>
        <v>12078249.240955515</v>
      </c>
      <c r="X163" s="81">
        <f t="shared" si="49"/>
        <v>12440596.718184184</v>
      </c>
      <c r="Y163" s="81">
        <f t="shared" si="49"/>
        <v>12813814.619729709</v>
      </c>
      <c r="Z163" s="81">
        <f t="shared" si="49"/>
        <v>13198229.0583216</v>
      </c>
      <c r="AA163" s="81">
        <f t="shared" si="49"/>
        <v>13594175.93007125</v>
      </c>
      <c r="AB163" s="81">
        <f t="shared" si="49"/>
        <v>14002001.207973385</v>
      </c>
      <c r="AC163" s="81">
        <f t="shared" si="49"/>
        <v>14422061.244212586</v>
      </c>
      <c r="AD163" s="81">
        <f t="shared" si="49"/>
        <v>14854723.081538968</v>
      </c>
      <c r="AE163" s="81">
        <f t="shared" si="49"/>
        <v>15300364.773985136</v>
      </c>
      <c r="AF163" s="81">
        <f t="shared" si="49"/>
        <v>15759375.717204692</v>
      </c>
    </row>
    <row r="164" spans="1:8" ht="12.75">
      <c r="A164" s="147"/>
      <c r="B164" s="26"/>
      <c r="C164" s="26"/>
      <c r="D164" s="26"/>
      <c r="E164" s="26"/>
      <c r="F164" s="26"/>
      <c r="G164" s="26"/>
      <c r="H164" s="26"/>
    </row>
    <row r="165" spans="1:32" ht="12.75">
      <c r="A165" s="77">
        <f>ROUND(NPV($C$26,C165:AD165),-5)</f>
        <v>16200000</v>
      </c>
      <c r="B165" s="26" t="s">
        <v>176</v>
      </c>
      <c r="C165" s="80">
        <f>C163-C159</f>
        <v>-636164.4998790408</v>
      </c>
      <c r="D165" s="80">
        <f>D163-D159</f>
        <v>-415903.93248110637</v>
      </c>
      <c r="E165" s="80">
        <f aca="true" t="shared" si="50" ref="E165:AF165">E163-E159</f>
        <v>-229088.90032041352</v>
      </c>
      <c r="F165" s="80">
        <f t="shared" si="50"/>
        <v>-36946.52071928792</v>
      </c>
      <c r="G165" s="80">
        <f t="shared" si="50"/>
        <v>160677.48467498645</v>
      </c>
      <c r="H165" s="80">
        <f t="shared" si="50"/>
        <v>363941.9117243057</v>
      </c>
      <c r="I165" s="81">
        <f t="shared" si="50"/>
        <v>573010.2071081912</v>
      </c>
      <c r="J165" s="81">
        <f t="shared" si="50"/>
        <v>803347.8396763019</v>
      </c>
      <c r="K165" s="81">
        <f t="shared" si="50"/>
        <v>1040595.6012214534</v>
      </c>
      <c r="L165" s="81">
        <f t="shared" si="50"/>
        <v>1284960.795612963</v>
      </c>
      <c r="M165" s="81">
        <f t="shared" si="50"/>
        <v>1536656.9458362125</v>
      </c>
      <c r="N165" s="81">
        <f t="shared" si="50"/>
        <v>1795903.9805661608</v>
      </c>
      <c r="O165" s="81">
        <f t="shared" si="50"/>
        <v>2062928.4263380095</v>
      </c>
      <c r="P165" s="81">
        <f t="shared" si="50"/>
        <v>2337963.6054830123</v>
      </c>
      <c r="Q165" s="81">
        <f t="shared" si="50"/>
        <v>2621249.8400023617</v>
      </c>
      <c r="R165" s="81">
        <f t="shared" si="50"/>
        <v>2913034.661557302</v>
      </c>
      <c r="S165" s="81">
        <f t="shared" si="50"/>
        <v>3213573.0277588814</v>
      </c>
      <c r="T165" s="81">
        <f t="shared" si="50"/>
        <v>3523127.544946512</v>
      </c>
      <c r="U165" s="81">
        <f t="shared" si="50"/>
        <v>3841968.6976497713</v>
      </c>
      <c r="V165" s="81">
        <f t="shared" si="50"/>
        <v>4170375.0849341247</v>
      </c>
      <c r="W165" s="81">
        <f t="shared" si="50"/>
        <v>4508633.663837012</v>
      </c>
      <c r="X165" s="81">
        <f t="shared" si="50"/>
        <v>4857040.0001069885</v>
      </c>
      <c r="Y165" s="81">
        <f t="shared" si="50"/>
        <v>5215898.526465062</v>
      </c>
      <c r="Z165" s="81">
        <f t="shared" si="50"/>
        <v>5585522.808613876</v>
      </c>
      <c r="AA165" s="81">
        <f t="shared" si="50"/>
        <v>5966235.819227155</v>
      </c>
      <c r="AB165" s="81">
        <f t="shared" si="50"/>
        <v>6445659.008658469</v>
      </c>
      <c r="AC165" s="81">
        <f t="shared" si="50"/>
        <v>6849557.441618094</v>
      </c>
      <c r="AD165" s="81">
        <f t="shared" si="50"/>
        <v>7265572.827566516</v>
      </c>
      <c r="AE165" s="81">
        <f t="shared" si="50"/>
        <v>14711690.765089171</v>
      </c>
      <c r="AF165" s="81">
        <f t="shared" si="50"/>
        <v>15153041.488041848</v>
      </c>
    </row>
    <row r="166" spans="1:32" ht="12.75">
      <c r="A166" s="147"/>
      <c r="B166" s="26" t="s">
        <v>177</v>
      </c>
      <c r="C166" s="95">
        <f>C165</f>
        <v>-636164.4998790408</v>
      </c>
      <c r="D166" s="95">
        <f>C166+D165</f>
        <v>-1052068.4323601471</v>
      </c>
      <c r="E166" s="95">
        <f aca="true" t="shared" si="51" ref="E166:AF166">D166+E165</f>
        <v>-1281157.3326805606</v>
      </c>
      <c r="F166" s="95">
        <f t="shared" si="51"/>
        <v>-1318103.8533998486</v>
      </c>
      <c r="G166" s="95">
        <f t="shared" si="51"/>
        <v>-1157426.368724862</v>
      </c>
      <c r="H166" s="95">
        <f t="shared" si="51"/>
        <v>-793484.4570005564</v>
      </c>
      <c r="I166" s="96">
        <f t="shared" si="51"/>
        <v>-220474.2498923652</v>
      </c>
      <c r="J166" s="96">
        <f t="shared" si="51"/>
        <v>582873.5897839367</v>
      </c>
      <c r="K166" s="96">
        <f t="shared" si="51"/>
        <v>1623469.1910053901</v>
      </c>
      <c r="L166" s="96">
        <f t="shared" si="51"/>
        <v>2908429.986618353</v>
      </c>
      <c r="M166" s="96">
        <f t="shared" si="51"/>
        <v>4445086.932454566</v>
      </c>
      <c r="N166" s="96">
        <f t="shared" si="51"/>
        <v>6240990.913020726</v>
      </c>
      <c r="O166" s="96">
        <f t="shared" si="51"/>
        <v>8303919.339358736</v>
      </c>
      <c r="P166" s="96">
        <f t="shared" si="51"/>
        <v>10641882.944841748</v>
      </c>
      <c r="Q166" s="96">
        <f t="shared" si="51"/>
        <v>13263132.78484411</v>
      </c>
      <c r="R166" s="96">
        <f t="shared" si="51"/>
        <v>16176167.446401412</v>
      </c>
      <c r="S166" s="96">
        <f t="shared" si="51"/>
        <v>19389740.47416029</v>
      </c>
      <c r="T166" s="96">
        <f t="shared" si="51"/>
        <v>22912868.019106805</v>
      </c>
      <c r="U166" s="96">
        <f t="shared" si="51"/>
        <v>26754836.716756575</v>
      </c>
      <c r="V166" s="96">
        <f t="shared" si="51"/>
        <v>30925211.801690698</v>
      </c>
      <c r="W166" s="96">
        <f t="shared" si="51"/>
        <v>35433845.46552771</v>
      </c>
      <c r="X166" s="96">
        <f t="shared" si="51"/>
        <v>40290885.4656347</v>
      </c>
      <c r="Y166" s="96">
        <f t="shared" si="51"/>
        <v>45506783.99209976</v>
      </c>
      <c r="Z166" s="96">
        <f t="shared" si="51"/>
        <v>51092306.800713636</v>
      </c>
      <c r="AA166" s="96">
        <f t="shared" si="51"/>
        <v>57058542.61994079</v>
      </c>
      <c r="AB166" s="96">
        <f t="shared" si="51"/>
        <v>63504201.62859926</v>
      </c>
      <c r="AC166" s="96">
        <f t="shared" si="51"/>
        <v>70353759.07021736</v>
      </c>
      <c r="AD166" s="96">
        <f t="shared" si="51"/>
        <v>77619331.89778388</v>
      </c>
      <c r="AE166" s="96">
        <f t="shared" si="51"/>
        <v>92331022.66287304</v>
      </c>
      <c r="AF166" s="96">
        <f t="shared" si="51"/>
        <v>107484064.1509149</v>
      </c>
    </row>
    <row r="167" ht="12.75">
      <c r="A167" s="148"/>
    </row>
    <row r="168" ht="12.75" hidden="1">
      <c r="A168" s="148"/>
    </row>
    <row r="169" ht="12.75" hidden="1">
      <c r="A169" s="148"/>
    </row>
    <row r="170" ht="12.75" hidden="1">
      <c r="A170" s="148"/>
    </row>
    <row r="171" ht="12.75" hidden="1">
      <c r="A171" s="148"/>
    </row>
    <row r="172" ht="12.75" hidden="1">
      <c r="A172" s="148"/>
    </row>
    <row r="173" ht="12.75" hidden="1">
      <c r="A173" s="148"/>
    </row>
    <row r="174" spans="2:3" ht="22.5" hidden="1">
      <c r="B174" s="99" t="s">
        <v>178</v>
      </c>
      <c r="C174" s="150" t="e">
        <f>ROUND(#REF!,-5)</f>
        <v>#REF!</v>
      </c>
    </row>
    <row r="175" spans="2:3" ht="22.5" hidden="1">
      <c r="B175" s="99" t="s">
        <v>179</v>
      </c>
      <c r="C175" s="150" t="e">
        <f>ROUND(#REF!,-5)</f>
        <v>#REF!</v>
      </c>
    </row>
    <row r="176" spans="2:3" ht="22.5" hidden="1">
      <c r="B176" s="99" t="s">
        <v>180</v>
      </c>
      <c r="C176" s="150" t="e">
        <f>ROUND(#REF!,-5)</f>
        <v>#REF!</v>
      </c>
    </row>
    <row r="177" spans="2:3" ht="22.5" hidden="1">
      <c r="B177" s="99" t="s">
        <v>181</v>
      </c>
      <c r="C177" s="150" t="e">
        <f>ROUND(#REF!,-5)</f>
        <v>#REF!</v>
      </c>
    </row>
    <row r="178" ht="12.75">
      <c r="C178" s="151"/>
    </row>
    <row r="179" ht="12.75">
      <c r="B179" s="82" t="s">
        <v>182</v>
      </c>
    </row>
    <row r="180" spans="2:7" ht="12.75">
      <c r="B180" s="152" t="s">
        <v>183</v>
      </c>
      <c r="C180" s="152" t="s">
        <v>184</v>
      </c>
      <c r="D180" s="153" t="s">
        <v>185</v>
      </c>
      <c r="E180" s="153">
        <v>2007</v>
      </c>
      <c r="F180" s="153"/>
      <c r="G180" s="153"/>
    </row>
    <row r="181" spans="2:7" ht="12.75">
      <c r="B181" s="154" t="s">
        <v>186</v>
      </c>
      <c r="C181" s="154" t="s">
        <v>187</v>
      </c>
      <c r="D181" s="155">
        <v>38391</v>
      </c>
      <c r="E181" s="156">
        <v>829629.51</v>
      </c>
      <c r="F181" s="157"/>
      <c r="G181" s="157"/>
    </row>
    <row r="182" spans="2:7" ht="12.75">
      <c r="B182" s="154" t="s">
        <v>186</v>
      </c>
      <c r="C182" s="154" t="s">
        <v>188</v>
      </c>
      <c r="D182" s="155">
        <v>45446</v>
      </c>
      <c r="E182" s="156">
        <v>982088.06</v>
      </c>
      <c r="F182" s="157"/>
      <c r="G182" s="157"/>
    </row>
    <row r="183" spans="2:7" ht="12.75">
      <c r="B183" s="154" t="s">
        <v>189</v>
      </c>
      <c r="C183" s="154" t="s">
        <v>190</v>
      </c>
      <c r="D183" s="155">
        <v>79807</v>
      </c>
      <c r="E183" s="156">
        <v>1276912</v>
      </c>
      <c r="F183" s="157"/>
      <c r="G183" s="157"/>
    </row>
    <row r="184" spans="2:7" ht="12.75">
      <c r="B184" s="154" t="s">
        <v>191</v>
      </c>
      <c r="C184" s="154" t="s">
        <v>192</v>
      </c>
      <c r="D184" s="155">
        <v>4409</v>
      </c>
      <c r="E184" s="156">
        <v>132270</v>
      </c>
      <c r="F184" s="157"/>
      <c r="G184" s="157"/>
    </row>
    <row r="185" spans="2:7" ht="12.75">
      <c r="B185" s="154" t="s">
        <v>191</v>
      </c>
      <c r="C185" s="154" t="s">
        <v>193</v>
      </c>
      <c r="D185" s="155">
        <v>46936</v>
      </c>
      <c r="E185" s="156">
        <v>891784</v>
      </c>
      <c r="F185" s="157"/>
      <c r="G185" s="157"/>
    </row>
    <row r="186" spans="2:7" ht="12.75">
      <c r="B186" s="154" t="s">
        <v>194</v>
      </c>
      <c r="C186" s="154" t="s">
        <v>192</v>
      </c>
      <c r="D186" s="155">
        <v>16797</v>
      </c>
      <c r="E186" s="156">
        <v>290893.385475</v>
      </c>
      <c r="F186" s="157"/>
      <c r="G186" s="157"/>
    </row>
    <row r="187" spans="2:7" ht="12.75">
      <c r="B187" s="154" t="s">
        <v>195</v>
      </c>
      <c r="C187" s="154" t="s">
        <v>196</v>
      </c>
      <c r="D187" s="155">
        <v>7200</v>
      </c>
      <c r="E187" s="156">
        <v>144000</v>
      </c>
      <c r="F187" s="157"/>
      <c r="G187" s="157"/>
    </row>
    <row r="188" spans="2:7" ht="12.75">
      <c r="B188" s="154" t="s">
        <v>197</v>
      </c>
      <c r="C188" s="154" t="s">
        <v>198</v>
      </c>
      <c r="D188" s="155">
        <v>3000</v>
      </c>
      <c r="E188" s="156">
        <v>69000</v>
      </c>
      <c r="F188" s="157"/>
      <c r="G188" s="157"/>
    </row>
    <row r="189" spans="2:7" ht="12.75">
      <c r="B189" s="154" t="s">
        <v>199</v>
      </c>
      <c r="C189" s="154" t="s">
        <v>200</v>
      </c>
      <c r="D189" s="155">
        <v>16670</v>
      </c>
      <c r="E189" s="156">
        <v>208375</v>
      </c>
      <c r="F189" s="157"/>
      <c r="G189" s="157"/>
    </row>
    <row r="190" spans="2:7" ht="12.75">
      <c r="B190" s="154" t="s">
        <v>201</v>
      </c>
      <c r="C190" s="154"/>
      <c r="D190" s="157">
        <v>12500</v>
      </c>
      <c r="E190" s="156">
        <v>125000</v>
      </c>
      <c r="F190" s="157"/>
      <c r="G190" s="157"/>
    </row>
    <row r="191" spans="2:8" ht="13.5" customHeight="1">
      <c r="B191" s="158" t="s">
        <v>202</v>
      </c>
      <c r="C191" s="154"/>
      <c r="D191" s="154"/>
      <c r="E191" s="156"/>
      <c r="F191" s="159"/>
      <c r="G191" s="159"/>
      <c r="H191" s="159"/>
    </row>
    <row r="192" spans="2:8" ht="12.75">
      <c r="B192" s="158"/>
      <c r="C192" s="160" t="s">
        <v>203</v>
      </c>
      <c r="D192" s="161">
        <f>SUM(D181:D190)</f>
        <v>271156</v>
      </c>
      <c r="E192" s="162">
        <f>SUM(E181:E190)</f>
        <v>4949951.955475001</v>
      </c>
      <c r="F192" s="159"/>
      <c r="G192" s="159"/>
      <c r="H192" s="159"/>
    </row>
    <row r="193" spans="6:8" ht="12.75">
      <c r="F193" s="159"/>
      <c r="G193" s="159"/>
      <c r="H193" s="159"/>
    </row>
    <row r="194" ht="12.75">
      <c r="E194" s="34"/>
    </row>
    <row r="195" ht="12.75" hidden="1">
      <c r="B195" s="82" t="s">
        <v>204</v>
      </c>
    </row>
    <row r="196" ht="12.75" hidden="1">
      <c r="B196" s="82" t="s">
        <v>205</v>
      </c>
    </row>
    <row r="197" spans="2:4" ht="12.75" hidden="1">
      <c r="B197" s="18" t="s">
        <v>206</v>
      </c>
      <c r="C197" s="76" t="e">
        <f>#REF!-#REF!</f>
        <v>#REF!</v>
      </c>
      <c r="D197" s="18" t="s">
        <v>207</v>
      </c>
    </row>
    <row r="198" spans="2:4" ht="12.75" hidden="1">
      <c r="B198" s="18" t="s">
        <v>208</v>
      </c>
      <c r="C198" s="76">
        <f>'[2]Comparison worksheet'!$B$34</f>
        <v>-4253779.831333475</v>
      </c>
      <c r="D198" s="18" t="s">
        <v>209</v>
      </c>
    </row>
    <row r="199" spans="2:4" ht="12.75" hidden="1">
      <c r="B199" s="18" t="s">
        <v>210</v>
      </c>
      <c r="C199" s="76">
        <f>-'[2]Comparison worksheet'!$B$51</f>
        <v>2346394.147755045</v>
      </c>
      <c r="D199" s="18" t="s">
        <v>211</v>
      </c>
    </row>
    <row r="200" spans="2:4" ht="12.75" hidden="1">
      <c r="B200" s="18" t="s">
        <v>212</v>
      </c>
      <c r="C200" s="76">
        <f>'[2]Comparison worksheet'!$B$39</f>
        <v>1677218.9058119897</v>
      </c>
      <c r="D200" s="18" t="s">
        <v>213</v>
      </c>
    </row>
    <row r="201" spans="2:4" ht="12.75" hidden="1">
      <c r="B201" s="18" t="s">
        <v>214</v>
      </c>
      <c r="C201" s="76">
        <f>'[2]Comparison worksheet'!$B$43</f>
        <v>2952103.194625799</v>
      </c>
      <c r="D201" s="18" t="s">
        <v>215</v>
      </c>
    </row>
    <row r="202" ht="12.75" hidden="1">
      <c r="C202" s="76"/>
    </row>
    <row r="203" spans="2:3" ht="12.75" hidden="1">
      <c r="B203" s="18" t="s">
        <v>216</v>
      </c>
      <c r="C203" s="163" t="e">
        <f>SUM(C197:C202)</f>
        <v>#REF!</v>
      </c>
    </row>
    <row r="204" ht="12.75" hidden="1"/>
    <row r="205" spans="2:3" ht="12.75" hidden="1">
      <c r="B205" s="18" t="s">
        <v>217</v>
      </c>
      <c r="C205" s="164">
        <f>'[3]Cashflow and Economics'!$H$53</f>
        <v>11165306.642272592</v>
      </c>
    </row>
    <row r="206" spans="2:3" ht="12.75" hidden="1">
      <c r="B206" s="18" t="s">
        <v>218</v>
      </c>
      <c r="C206" s="164" t="e">
        <f>#REF!</f>
        <v>#REF!</v>
      </c>
    </row>
    <row r="207" ht="12.75" hidden="1"/>
    <row r="208" spans="2:3" ht="12.75" hidden="1">
      <c r="B208" s="18" t="s">
        <v>219</v>
      </c>
      <c r="C208" s="164" t="e">
        <f>C206-C205</f>
        <v>#REF!</v>
      </c>
    </row>
    <row r="210" ht="12.75" hidden="1"/>
    <row r="211" spans="4:6" ht="12.75" hidden="1">
      <c r="D211" s="1"/>
      <c r="E211" s="14" t="s">
        <v>220</v>
      </c>
      <c r="F211" s="1"/>
    </row>
    <row r="212" spans="4:6" ht="12.75" hidden="1">
      <c r="D212" s="1">
        <v>2005</v>
      </c>
      <c r="E212" s="2">
        <v>-990000</v>
      </c>
      <c r="F212" s="20"/>
    </row>
    <row r="213" spans="4:6" ht="12.75" hidden="1">
      <c r="D213" s="1">
        <f>D212+1</f>
        <v>2006</v>
      </c>
      <c r="E213" s="2">
        <v>-1080000</v>
      </c>
      <c r="F213" s="20"/>
    </row>
    <row r="214" spans="4:6" ht="12.75" hidden="1">
      <c r="D214" s="1">
        <f aca="true" t="shared" si="52" ref="D214:D220">D213+1</f>
        <v>2007</v>
      </c>
      <c r="E214" s="2">
        <v>-1210000</v>
      </c>
      <c r="F214" s="20"/>
    </row>
    <row r="215" spans="4:6" ht="12.75" hidden="1">
      <c r="D215" s="1">
        <f t="shared" si="52"/>
        <v>2008</v>
      </c>
      <c r="E215" s="2">
        <v>-1230000</v>
      </c>
      <c r="F215" s="20"/>
    </row>
    <row r="216" spans="4:6" ht="12.75" hidden="1">
      <c r="D216" s="1">
        <f t="shared" si="52"/>
        <v>2009</v>
      </c>
      <c r="E216" s="2">
        <v>-1380000</v>
      </c>
      <c r="F216" s="20"/>
    </row>
    <row r="217" spans="4:6" ht="12.75" hidden="1">
      <c r="D217" s="1">
        <f t="shared" si="52"/>
        <v>2010</v>
      </c>
      <c r="E217" s="2">
        <v>-1380000</v>
      </c>
      <c r="F217" s="20"/>
    </row>
    <row r="218" spans="4:6" ht="12.75" hidden="1">
      <c r="D218" s="1">
        <f t="shared" si="52"/>
        <v>2011</v>
      </c>
      <c r="E218" s="2">
        <v>-1410000</v>
      </c>
      <c r="F218" s="20"/>
    </row>
    <row r="219" spans="4:6" ht="12.75" hidden="1">
      <c r="D219" s="1">
        <f t="shared" si="52"/>
        <v>2012</v>
      </c>
      <c r="E219" s="2">
        <v>-1580000</v>
      </c>
      <c r="F219" s="20"/>
    </row>
    <row r="220" spans="4:6" ht="12.75" hidden="1">
      <c r="D220" s="1">
        <f t="shared" si="52"/>
        <v>2013</v>
      </c>
      <c r="E220" s="2">
        <v>-1750000</v>
      </c>
      <c r="F220" s="20"/>
    </row>
    <row r="221" spans="4:6" ht="12.75" hidden="1">
      <c r="D221" s="1"/>
      <c r="E221" s="1"/>
      <c r="F221" s="1"/>
    </row>
    <row r="222" spans="4:6" ht="12.75" hidden="1">
      <c r="D222" s="1" t="s">
        <v>221</v>
      </c>
      <c r="E222" s="20">
        <f>SUM(E212:E221)</f>
        <v>-12010000</v>
      </c>
      <c r="F222" s="20"/>
    </row>
    <row r="223" spans="4:6" ht="12.75" hidden="1">
      <c r="D223" s="1" t="s">
        <v>222</v>
      </c>
      <c r="E223" s="2">
        <f>ROUND(NPV(0.08,E212:E220),-4)</f>
        <v>-8070000</v>
      </c>
      <c r="F223" s="165"/>
    </row>
  </sheetData>
  <printOptions gridLines="1" horizontalCentered="1" verticalCentered="1"/>
  <pageMargins left="0.25" right="0.25" top="0.5" bottom="0.5" header="0.5" footer="0.5"/>
  <pageSetup fitToHeight="1" fitToWidth="1" horizontalDpi="600" verticalDpi="600" orientation="landscape" scale="96" r:id="rId1"/>
  <headerFooter alignWithMargins="0">
    <oddHeader>&amp;C&amp;"Arial,Bold"&amp;12New County Office Building&amp;"Arial,Regular"&amp;10
Revised Fincancing Plan
09/15/04</oddHeader>
    <oddFooter>&amp;LFile: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9.8515625" style="0" bestFit="1" customWidth="1"/>
    <col min="6" max="7" width="14.28125" style="0" customWidth="1"/>
    <col min="8" max="8" width="9.140625" style="186" customWidth="1"/>
    <col min="9" max="9" width="7.00390625" style="212" customWidth="1"/>
    <col min="10" max="10" width="14.00390625" style="0" bestFit="1" customWidth="1"/>
    <col min="11" max="11" width="4.28125" style="0" customWidth="1"/>
    <col min="12" max="12" width="68.57421875" style="0" customWidth="1"/>
  </cols>
  <sheetData>
    <row r="1" spans="1:36" ht="12.75">
      <c r="A1" s="166" t="s">
        <v>223</v>
      </c>
      <c r="B1" s="167"/>
      <c r="C1" s="167"/>
      <c r="D1" s="167"/>
      <c r="E1" s="167"/>
      <c r="F1" s="168"/>
      <c r="G1" s="168"/>
      <c r="H1" s="169"/>
      <c r="I1" s="170"/>
      <c r="K1" s="171">
        <v>1</v>
      </c>
      <c r="L1" s="171">
        <f aca="true" t="shared" si="0" ref="L1:AJ1">K1+1</f>
        <v>2</v>
      </c>
      <c r="M1" s="171">
        <f t="shared" si="0"/>
        <v>3</v>
      </c>
      <c r="N1" s="171">
        <f t="shared" si="0"/>
        <v>4</v>
      </c>
      <c r="O1" s="171">
        <f t="shared" si="0"/>
        <v>5</v>
      </c>
      <c r="P1" s="171">
        <f t="shared" si="0"/>
        <v>6</v>
      </c>
      <c r="Q1" s="171">
        <f t="shared" si="0"/>
        <v>7</v>
      </c>
      <c r="R1" s="171">
        <f t="shared" si="0"/>
        <v>8</v>
      </c>
      <c r="S1" s="171">
        <f t="shared" si="0"/>
        <v>9</v>
      </c>
      <c r="T1" s="171">
        <f t="shared" si="0"/>
        <v>10</v>
      </c>
      <c r="U1" s="171">
        <f t="shared" si="0"/>
        <v>11</v>
      </c>
      <c r="V1" s="171">
        <f t="shared" si="0"/>
        <v>12</v>
      </c>
      <c r="W1" s="171">
        <f t="shared" si="0"/>
        <v>13</v>
      </c>
      <c r="X1" s="171">
        <f t="shared" si="0"/>
        <v>14</v>
      </c>
      <c r="Y1" s="171">
        <f t="shared" si="0"/>
        <v>15</v>
      </c>
      <c r="Z1" s="171">
        <f t="shared" si="0"/>
        <v>16</v>
      </c>
      <c r="AA1" s="171">
        <f t="shared" si="0"/>
        <v>17</v>
      </c>
      <c r="AB1" s="171">
        <f t="shared" si="0"/>
        <v>18</v>
      </c>
      <c r="AC1" s="171">
        <f t="shared" si="0"/>
        <v>19</v>
      </c>
      <c r="AD1" s="171">
        <f t="shared" si="0"/>
        <v>20</v>
      </c>
      <c r="AE1" s="171">
        <f t="shared" si="0"/>
        <v>21</v>
      </c>
      <c r="AF1" s="171">
        <f t="shared" si="0"/>
        <v>22</v>
      </c>
      <c r="AG1" s="171">
        <f t="shared" si="0"/>
        <v>23</v>
      </c>
      <c r="AH1" s="171">
        <f t="shared" si="0"/>
        <v>24</v>
      </c>
      <c r="AI1" s="171">
        <f t="shared" si="0"/>
        <v>25</v>
      </c>
      <c r="AJ1" s="171">
        <f t="shared" si="0"/>
        <v>26</v>
      </c>
    </row>
    <row r="2" spans="1:36" ht="12.75">
      <c r="A2" s="166" t="s">
        <v>224</v>
      </c>
      <c r="B2" s="167"/>
      <c r="C2" s="167"/>
      <c r="D2" s="167"/>
      <c r="E2" s="167"/>
      <c r="F2" s="168"/>
      <c r="G2" s="168"/>
      <c r="H2" s="169"/>
      <c r="I2" s="170"/>
      <c r="K2" s="172" t="s">
        <v>225</v>
      </c>
      <c r="L2" s="173" t="s">
        <v>226</v>
      </c>
      <c r="M2" s="173" t="s">
        <v>227</v>
      </c>
      <c r="N2" s="173" t="s">
        <v>228</v>
      </c>
      <c r="O2" s="173" t="s">
        <v>229</v>
      </c>
      <c r="P2" s="173" t="s">
        <v>230</v>
      </c>
      <c r="Q2" s="173" t="s">
        <v>231</v>
      </c>
      <c r="R2" s="173" t="s">
        <v>232</v>
      </c>
      <c r="S2" s="173" t="s">
        <v>233</v>
      </c>
      <c r="T2" s="173" t="s">
        <v>234</v>
      </c>
      <c r="U2" s="173" t="s">
        <v>235</v>
      </c>
      <c r="V2" s="173" t="s">
        <v>236</v>
      </c>
      <c r="W2" s="173" t="s">
        <v>237</v>
      </c>
      <c r="X2" s="173" t="s">
        <v>238</v>
      </c>
      <c r="Y2" s="173" t="s">
        <v>239</v>
      </c>
      <c r="Z2" s="173" t="s">
        <v>240</v>
      </c>
      <c r="AA2" s="173" t="s">
        <v>241</v>
      </c>
      <c r="AB2" s="173" t="s">
        <v>242</v>
      </c>
      <c r="AC2" s="173" t="s">
        <v>243</v>
      </c>
      <c r="AD2" s="173" t="s">
        <v>244</v>
      </c>
      <c r="AE2" s="173" t="s">
        <v>245</v>
      </c>
      <c r="AF2" s="173" t="s">
        <v>246</v>
      </c>
      <c r="AG2" s="173" t="s">
        <v>247</v>
      </c>
      <c r="AH2" s="173" t="s">
        <v>248</v>
      </c>
      <c r="AI2" s="173" t="s">
        <v>249</v>
      </c>
      <c r="AJ2" s="173" t="s">
        <v>250</v>
      </c>
    </row>
    <row r="3" spans="1:36" ht="12.75">
      <c r="A3" s="174"/>
      <c r="B3" s="167"/>
      <c r="C3" s="167"/>
      <c r="D3" s="167"/>
      <c r="E3" s="167"/>
      <c r="F3" s="175"/>
      <c r="G3" s="175"/>
      <c r="H3" s="176"/>
      <c r="I3" s="177"/>
      <c r="K3" s="173" t="str">
        <f aca="true" t="shared" si="1" ref="K3:AJ3">"("&amp;K2&amp;")"</f>
        <v>(A)</v>
      </c>
      <c r="L3" s="173" t="str">
        <f t="shared" si="1"/>
        <v>(B)</v>
      </c>
      <c r="M3" s="173" t="str">
        <f t="shared" si="1"/>
        <v>(C)</v>
      </c>
      <c r="N3" s="173" t="str">
        <f t="shared" si="1"/>
        <v>(D)</v>
      </c>
      <c r="O3" s="173" t="str">
        <f t="shared" si="1"/>
        <v>(E)</v>
      </c>
      <c r="P3" s="173" t="str">
        <f t="shared" si="1"/>
        <v>(F)</v>
      </c>
      <c r="Q3" s="173" t="str">
        <f t="shared" si="1"/>
        <v>(G)</v>
      </c>
      <c r="R3" s="173" t="str">
        <f t="shared" si="1"/>
        <v>(H)</v>
      </c>
      <c r="S3" s="173" t="str">
        <f t="shared" si="1"/>
        <v>(I)</v>
      </c>
      <c r="T3" s="173" t="str">
        <f t="shared" si="1"/>
        <v>(J)</v>
      </c>
      <c r="U3" s="173" t="str">
        <f t="shared" si="1"/>
        <v>(K)</v>
      </c>
      <c r="V3" s="173" t="str">
        <f t="shared" si="1"/>
        <v>(L)</v>
      </c>
      <c r="W3" s="173" t="str">
        <f t="shared" si="1"/>
        <v>(M)</v>
      </c>
      <c r="X3" s="173" t="str">
        <f t="shared" si="1"/>
        <v>(N)</v>
      </c>
      <c r="Y3" s="173" t="str">
        <f t="shared" si="1"/>
        <v>(O)</v>
      </c>
      <c r="Z3" s="173" t="str">
        <f t="shared" si="1"/>
        <v>(P)</v>
      </c>
      <c r="AA3" s="173" t="str">
        <f t="shared" si="1"/>
        <v>(Q)</v>
      </c>
      <c r="AB3" s="173" t="str">
        <f t="shared" si="1"/>
        <v>(R)</v>
      </c>
      <c r="AC3" s="173" t="str">
        <f t="shared" si="1"/>
        <v>(S)</v>
      </c>
      <c r="AD3" s="173" t="str">
        <f t="shared" si="1"/>
        <v>(T)</v>
      </c>
      <c r="AE3" s="173" t="str">
        <f t="shared" si="1"/>
        <v>(U)</v>
      </c>
      <c r="AF3" s="173" t="str">
        <f t="shared" si="1"/>
        <v>(V)</v>
      </c>
      <c r="AG3" s="173" t="str">
        <f t="shared" si="1"/>
        <v>(W)</v>
      </c>
      <c r="AH3" s="173" t="str">
        <f t="shared" si="1"/>
        <v>(X)</v>
      </c>
      <c r="AI3" s="173" t="str">
        <f t="shared" si="1"/>
        <v>(Y)</v>
      </c>
      <c r="AJ3" s="173" t="str">
        <f t="shared" si="1"/>
        <v>(Z)</v>
      </c>
    </row>
    <row r="4" spans="1:10" ht="14.25">
      <c r="A4" s="174"/>
      <c r="B4" s="167"/>
      <c r="C4" s="167"/>
      <c r="D4" s="167"/>
      <c r="E4" s="167"/>
      <c r="F4" s="178" t="s">
        <v>251</v>
      </c>
      <c r="G4" s="178" t="s">
        <v>252</v>
      </c>
      <c r="H4" s="176"/>
      <c r="I4" s="179" t="s">
        <v>253</v>
      </c>
      <c r="J4" s="180" t="s">
        <v>254</v>
      </c>
    </row>
    <row r="5" spans="1:9" ht="12.75">
      <c r="A5" s="174" t="s">
        <v>255</v>
      </c>
      <c r="B5" s="181"/>
      <c r="C5" s="181"/>
      <c r="D5" s="181"/>
      <c r="E5" s="181"/>
      <c r="F5" s="182"/>
      <c r="G5" s="182"/>
      <c r="H5" s="183"/>
      <c r="I5" s="170"/>
    </row>
    <row r="6" spans="1:10" ht="12.75">
      <c r="A6" s="184" t="s">
        <v>256</v>
      </c>
      <c r="B6" s="181"/>
      <c r="C6" s="181"/>
      <c r="D6" s="181"/>
      <c r="E6" s="181"/>
      <c r="F6" s="185">
        <v>1271000</v>
      </c>
      <c r="G6" s="185">
        <f aca="true" t="shared" si="2" ref="G6:G11">F6</f>
        <v>1271000</v>
      </c>
      <c r="H6" s="186" t="str">
        <f>INDEX($K$1:$AJ$3,3,COUNTA(H$4:H5)+1)</f>
        <v>(A)</v>
      </c>
      <c r="I6" s="187">
        <f aca="true" t="shared" si="3" ref="I6:J11">F6/$F$64</f>
        <v>4.471384546106975</v>
      </c>
      <c r="J6" s="188">
        <f>G6/$F$64</f>
        <v>4.471384546106975</v>
      </c>
    </row>
    <row r="7" spans="1:10" ht="12.75">
      <c r="A7" s="184" t="s">
        <v>257</v>
      </c>
      <c r="B7" s="181"/>
      <c r="C7" s="181"/>
      <c r="D7" s="181"/>
      <c r="E7" s="181"/>
      <c r="F7" s="185">
        <v>195000</v>
      </c>
      <c r="G7" s="185">
        <f t="shared" si="2"/>
        <v>195000</v>
      </c>
      <c r="H7" s="186" t="str">
        <f>INDEX($K$1:$AJ$3,3,COUNTA(H$4:H6)+1)</f>
        <v>(B)</v>
      </c>
      <c r="I7" s="187">
        <f t="shared" si="3"/>
        <v>0.6860110043201103</v>
      </c>
      <c r="J7" s="188">
        <f t="shared" si="3"/>
        <v>0.6860110043201103</v>
      </c>
    </row>
    <row r="8" spans="1:10" ht="12.75">
      <c r="A8" s="184" t="s">
        <v>258</v>
      </c>
      <c r="B8" s="181"/>
      <c r="C8" s="181"/>
      <c r="D8" s="181"/>
      <c r="E8" s="181"/>
      <c r="F8" s="185">
        <v>765000</v>
      </c>
      <c r="G8" s="185">
        <f t="shared" si="2"/>
        <v>765000</v>
      </c>
      <c r="H8" s="186" t="str">
        <f>INDEX($K$1:$AJ$3,3,COUNTA(H$4:H7)+1)</f>
        <v>(C)</v>
      </c>
      <c r="I8" s="187">
        <f t="shared" si="3"/>
        <v>2.6912739400250483</v>
      </c>
      <c r="J8" s="188">
        <f t="shared" si="3"/>
        <v>2.6912739400250483</v>
      </c>
    </row>
    <row r="9" spans="1:10" ht="12.75">
      <c r="A9" s="184" t="s">
        <v>259</v>
      </c>
      <c r="B9" s="181"/>
      <c r="C9" s="181"/>
      <c r="D9" s="181"/>
      <c r="E9" s="181"/>
      <c r="F9" s="185">
        <v>365000</v>
      </c>
      <c r="G9" s="185">
        <f t="shared" si="2"/>
        <v>365000</v>
      </c>
      <c r="H9" s="186" t="str">
        <f>INDEX($K$1:$AJ$3,3,COUNTA(H$4:H8)+1)</f>
        <v>(D)</v>
      </c>
      <c r="I9" s="187">
        <f t="shared" si="3"/>
        <v>1.284071879881232</v>
      </c>
      <c r="J9" s="188">
        <f t="shared" si="3"/>
        <v>1.284071879881232</v>
      </c>
    </row>
    <row r="10" spans="1:10" ht="12.75">
      <c r="A10" s="184" t="s">
        <v>260</v>
      </c>
      <c r="B10" s="181"/>
      <c r="C10" s="181"/>
      <c r="D10" s="181"/>
      <c r="E10" s="181"/>
      <c r="F10" s="185">
        <v>75000</v>
      </c>
      <c r="G10" s="185">
        <f t="shared" si="2"/>
        <v>75000</v>
      </c>
      <c r="H10" s="186" t="str">
        <f>INDEX($K$1:$AJ$3,3,COUNTA(H$4:H9)+1)</f>
        <v>(E)</v>
      </c>
      <c r="I10" s="187">
        <f t="shared" si="3"/>
        <v>0.2638503862769655</v>
      </c>
      <c r="J10" s="188">
        <f t="shared" si="3"/>
        <v>0.2638503862769655</v>
      </c>
    </row>
    <row r="11" spans="1:10" ht="12.75">
      <c r="A11" s="184" t="s">
        <v>261</v>
      </c>
      <c r="B11" s="181"/>
      <c r="C11" s="181"/>
      <c r="D11" s="181"/>
      <c r="E11" s="181"/>
      <c r="F11" s="189">
        <v>432000</v>
      </c>
      <c r="G11" s="185">
        <f t="shared" si="2"/>
        <v>432000</v>
      </c>
      <c r="H11" s="186" t="str">
        <f>INDEX($K$1:$AJ$3,3,COUNTA(H$4:H10)+1)</f>
        <v>(F)</v>
      </c>
      <c r="I11" s="190">
        <f t="shared" si="3"/>
        <v>1.5197782249553213</v>
      </c>
      <c r="J11" s="188">
        <f t="shared" si="3"/>
        <v>1.5197782249553213</v>
      </c>
    </row>
    <row r="12" spans="1:9" ht="6" customHeight="1">
      <c r="A12" s="184"/>
      <c r="B12" s="181"/>
      <c r="C12" s="181"/>
      <c r="D12" s="181"/>
      <c r="E12" s="181"/>
      <c r="F12" s="191" t="s">
        <v>262</v>
      </c>
      <c r="G12" s="191"/>
      <c r="I12" s="191" t="s">
        <v>262</v>
      </c>
    </row>
    <row r="13" spans="1:10" ht="12.75">
      <c r="A13" s="174" t="s">
        <v>263</v>
      </c>
      <c r="B13" s="181"/>
      <c r="C13" s="181"/>
      <c r="D13" s="181"/>
      <c r="E13" s="181">
        <f>'[1]KC format'!I30+'[1]KC format'!I42</f>
        <v>2917000</v>
      </c>
      <c r="F13" s="185">
        <f>SUM(F6:F12)</f>
        <v>3103000</v>
      </c>
      <c r="G13" s="185">
        <f>SUM(G6:G12)</f>
        <v>3103000</v>
      </c>
      <c r="I13" s="187">
        <f>F13/$F$64</f>
        <v>10.916369981565653</v>
      </c>
      <c r="J13" s="187">
        <f>G13/$F$64</f>
        <v>10.916369981565653</v>
      </c>
    </row>
    <row r="14" spans="1:9" ht="12.75">
      <c r="A14" s="184"/>
      <c r="B14" s="181"/>
      <c r="C14" s="181"/>
      <c r="D14" s="181"/>
      <c r="E14" s="192"/>
      <c r="F14" s="185"/>
      <c r="G14" s="185"/>
      <c r="I14" s="187"/>
    </row>
    <row r="15" spans="1:9" ht="12.75">
      <c r="A15" s="174" t="s">
        <v>264</v>
      </c>
      <c r="B15" s="181"/>
      <c r="C15" s="181"/>
      <c r="D15" s="181"/>
      <c r="E15" s="181"/>
      <c r="F15" s="185"/>
      <c r="G15" s="185"/>
      <c r="I15" s="187"/>
    </row>
    <row r="16" spans="1:10" ht="12.75">
      <c r="A16" s="184" t="s">
        <v>265</v>
      </c>
      <c r="B16" s="181"/>
      <c r="C16" s="181"/>
      <c r="D16" s="181"/>
      <c r="E16" s="181"/>
      <c r="F16" s="185">
        <v>54075000</v>
      </c>
      <c r="G16" s="185">
        <f>F16</f>
        <v>54075000</v>
      </c>
      <c r="H16" s="186" t="str">
        <f>INDEX($K$1:$AJ$3,3,COUNTA(H$4:H15)+1)</f>
        <v>(G)</v>
      </c>
      <c r="I16" s="187">
        <f aca="true" t="shared" si="4" ref="I16:J22">F16/$F$64</f>
        <v>190.23612850569214</v>
      </c>
      <c r="J16" s="188">
        <f t="shared" si="4"/>
        <v>190.23612850569214</v>
      </c>
    </row>
    <row r="17" spans="1:10" ht="12.75">
      <c r="A17" s="184" t="s">
        <v>266</v>
      </c>
      <c r="B17" s="181"/>
      <c r="C17" s="181"/>
      <c r="D17" s="181"/>
      <c r="E17" s="181"/>
      <c r="F17" s="185">
        <v>960000</v>
      </c>
      <c r="G17" s="185">
        <f>F17</f>
        <v>960000</v>
      </c>
      <c r="H17" s="186" t="str">
        <f>INDEX($K$1:$AJ$3,3,COUNTA(H$4:H16)+1)</f>
        <v>(H)</v>
      </c>
      <c r="I17" s="187">
        <f t="shared" si="4"/>
        <v>3.3772849443451585</v>
      </c>
      <c r="J17" s="188">
        <f t="shared" si="4"/>
        <v>3.3772849443451585</v>
      </c>
    </row>
    <row r="18" spans="1:10" ht="12.75">
      <c r="A18" s="184" t="s">
        <v>267</v>
      </c>
      <c r="B18" s="181"/>
      <c r="C18" s="181"/>
      <c r="D18" s="181"/>
      <c r="E18" s="181"/>
      <c r="F18" s="185">
        <v>0</v>
      </c>
      <c r="G18" s="185"/>
      <c r="H18" s="186" t="s">
        <v>268</v>
      </c>
      <c r="I18" s="187">
        <f t="shared" si="4"/>
        <v>0</v>
      </c>
      <c r="J18" s="188">
        <f t="shared" si="4"/>
        <v>0</v>
      </c>
    </row>
    <row r="19" spans="1:10" ht="12.75">
      <c r="A19" s="184" t="s">
        <v>269</v>
      </c>
      <c r="B19" s="181"/>
      <c r="C19" s="181"/>
      <c r="D19" s="181"/>
      <c r="E19" s="181"/>
      <c r="F19" s="185">
        <v>450000</v>
      </c>
      <c r="G19" s="185">
        <f>F19</f>
        <v>450000</v>
      </c>
      <c r="H19" s="186" t="s">
        <v>270</v>
      </c>
      <c r="I19" s="187">
        <f t="shared" si="4"/>
        <v>1.583102317661793</v>
      </c>
      <c r="J19" s="188">
        <f t="shared" si="4"/>
        <v>1.583102317661793</v>
      </c>
    </row>
    <row r="20" spans="1:10" ht="12.75">
      <c r="A20" s="184" t="s">
        <v>271</v>
      </c>
      <c r="B20" s="181"/>
      <c r="C20" s="181"/>
      <c r="D20" s="181"/>
      <c r="E20" s="181"/>
      <c r="F20" s="185">
        <v>881000</v>
      </c>
      <c r="G20" s="193">
        <f>'[1]KC format'!Q82</f>
        <v>888225.8</v>
      </c>
      <c r="H20" s="186" t="s">
        <v>272</v>
      </c>
      <c r="I20" s="187">
        <f t="shared" si="4"/>
        <v>3.099362537466755</v>
      </c>
      <c r="J20" s="188">
        <f t="shared" si="4"/>
        <v>3.124782939082223</v>
      </c>
    </row>
    <row r="21" spans="1:10" ht="12.75">
      <c r="A21" s="184" t="s">
        <v>273</v>
      </c>
      <c r="B21" s="181"/>
      <c r="C21" s="181"/>
      <c r="D21" s="181"/>
      <c r="E21" s="181"/>
      <c r="F21" s="185">
        <v>533000</v>
      </c>
      <c r="G21" s="185">
        <f>F21</f>
        <v>533000</v>
      </c>
      <c r="H21" s="186" t="s">
        <v>274</v>
      </c>
      <c r="I21" s="187">
        <f t="shared" si="4"/>
        <v>1.875096745141635</v>
      </c>
      <c r="J21" s="188">
        <f t="shared" si="4"/>
        <v>1.875096745141635</v>
      </c>
    </row>
    <row r="22" spans="1:12" ht="12.75">
      <c r="A22" s="184" t="s">
        <v>275</v>
      </c>
      <c r="B22" s="181"/>
      <c r="C22" s="181"/>
      <c r="D22" s="181"/>
      <c r="E22" s="181"/>
      <c r="F22" s="189">
        <v>4820000</v>
      </c>
      <c r="G22" s="193">
        <f>(G16+G17)*0.088</f>
        <v>4843080</v>
      </c>
      <c r="H22" s="194" t="s">
        <v>276</v>
      </c>
      <c r="I22" s="190">
        <f t="shared" si="4"/>
        <v>16.956784824732985</v>
      </c>
      <c r="J22" s="188">
        <f t="shared" si="4"/>
        <v>17.03798038360328</v>
      </c>
      <c r="L22" s="195"/>
    </row>
    <row r="23" spans="1:10" ht="6" customHeight="1">
      <c r="A23" s="184"/>
      <c r="B23" s="181"/>
      <c r="C23" s="181"/>
      <c r="D23" s="181"/>
      <c r="E23" s="181"/>
      <c r="F23" s="191" t="s">
        <v>262</v>
      </c>
      <c r="G23" s="191"/>
      <c r="I23" s="191" t="s">
        <v>262</v>
      </c>
      <c r="J23" s="191" t="s">
        <v>262</v>
      </c>
    </row>
    <row r="24" spans="1:10" ht="12.75">
      <c r="A24" s="174" t="s">
        <v>277</v>
      </c>
      <c r="B24" s="181"/>
      <c r="C24" s="181"/>
      <c r="D24" s="181"/>
      <c r="E24" s="181"/>
      <c r="F24" s="185">
        <f>SUM(F16:F23)</f>
        <v>61719000</v>
      </c>
      <c r="G24" s="185">
        <f>SUM(G16:G23)</f>
        <v>61749305.8</v>
      </c>
      <c r="I24" s="187">
        <f>F24/$F$64</f>
        <v>217.12775987504045</v>
      </c>
      <c r="J24" s="187">
        <f>G24/$F$64</f>
        <v>217.2343758355262</v>
      </c>
    </row>
    <row r="25" spans="1:9" ht="12.75">
      <c r="A25" s="184"/>
      <c r="B25" s="181"/>
      <c r="C25" s="181"/>
      <c r="D25" s="192">
        <f>G16+G22-0.088*F17</f>
        <v>58833600</v>
      </c>
      <c r="E25" s="192">
        <f>'[1]Construction cost alts'!C56-D25</f>
        <v>0</v>
      </c>
      <c r="F25" s="185"/>
      <c r="G25" s="185"/>
      <c r="I25" s="187"/>
    </row>
    <row r="26" spans="1:9" ht="12.75">
      <c r="A26" s="174" t="s">
        <v>278</v>
      </c>
      <c r="B26" s="181"/>
      <c r="C26" s="181"/>
      <c r="D26" s="181"/>
      <c r="E26" s="181"/>
      <c r="F26" s="185"/>
      <c r="G26" s="185"/>
      <c r="I26" s="187"/>
    </row>
    <row r="27" spans="1:10" ht="12.75">
      <c r="A27" s="184" t="s">
        <v>279</v>
      </c>
      <c r="B27" s="181"/>
      <c r="C27" s="181"/>
      <c r="D27" s="181"/>
      <c r="E27" s="181"/>
      <c r="F27" s="185">
        <v>14215000</v>
      </c>
      <c r="G27" s="185">
        <f>F27</f>
        <v>14215000</v>
      </c>
      <c r="H27" s="186" t="str">
        <f>INDEX($K$1:$AJ$3,3,COUNTA(H$4:H26)+1)</f>
        <v>(N)</v>
      </c>
      <c r="I27" s="187">
        <f aca="true" t="shared" si="5" ref="I27:J32">F27/$F$64</f>
        <v>50.008443212360866</v>
      </c>
      <c r="J27" s="187">
        <f t="shared" si="5"/>
        <v>50.008443212360866</v>
      </c>
    </row>
    <row r="28" spans="1:10" s="200" customFormat="1" ht="12.75">
      <c r="A28" s="196" t="s">
        <v>280</v>
      </c>
      <c r="B28" s="197"/>
      <c r="C28" s="197"/>
      <c r="D28" s="197"/>
      <c r="E28" s="197"/>
      <c r="F28" s="198"/>
      <c r="G28" s="198">
        <f>'[1]KC format'!Q54+'[1]KC format'!Q55+'[1]KC format'!Q59</f>
        <v>710500</v>
      </c>
      <c r="H28" s="194" t="s">
        <v>281</v>
      </c>
      <c r="I28" s="199">
        <f t="shared" si="5"/>
        <v>0</v>
      </c>
      <c r="J28" s="187">
        <f t="shared" si="5"/>
        <v>2.4995426593304533</v>
      </c>
    </row>
    <row r="29" spans="1:10" ht="12.75">
      <c r="A29" s="184" t="s">
        <v>282</v>
      </c>
      <c r="B29" s="181"/>
      <c r="C29" s="181"/>
      <c r="D29" s="181"/>
      <c r="E29" s="181"/>
      <c r="F29" s="185">
        <v>0</v>
      </c>
      <c r="G29" s="185"/>
      <c r="H29" s="186" t="s">
        <v>283</v>
      </c>
      <c r="I29" s="187">
        <f t="shared" si="5"/>
        <v>0</v>
      </c>
      <c r="J29" s="187">
        <f t="shared" si="5"/>
        <v>0</v>
      </c>
    </row>
    <row r="30" spans="1:10" ht="12.75">
      <c r="A30" s="184" t="s">
        <v>284</v>
      </c>
      <c r="B30" s="181"/>
      <c r="C30" s="181"/>
      <c r="D30" s="181"/>
      <c r="E30" s="181"/>
      <c r="F30" s="185">
        <v>510000</v>
      </c>
      <c r="G30" s="185">
        <f>F30</f>
        <v>510000</v>
      </c>
      <c r="H30" s="186" t="s">
        <v>285</v>
      </c>
      <c r="I30" s="187">
        <f t="shared" si="5"/>
        <v>1.7941826266833654</v>
      </c>
      <c r="J30" s="187">
        <f t="shared" si="5"/>
        <v>1.7941826266833654</v>
      </c>
    </row>
    <row r="31" spans="1:10" ht="12.75">
      <c r="A31" s="184" t="s">
        <v>286</v>
      </c>
      <c r="B31" s="181"/>
      <c r="C31" s="181"/>
      <c r="D31" s="181"/>
      <c r="E31" s="181"/>
      <c r="F31" s="189">
        <v>110000</v>
      </c>
      <c r="G31" s="185">
        <f>F31</f>
        <v>110000</v>
      </c>
      <c r="H31" s="186" t="str">
        <f>INDEX($K$1:$AJ$3,3,COUNTA(H$4:H30)+1)</f>
        <v>(R)</v>
      </c>
      <c r="I31" s="187">
        <f t="shared" si="5"/>
        <v>0.38698056653954943</v>
      </c>
      <c r="J31" s="187">
        <f t="shared" si="5"/>
        <v>0.38698056653954943</v>
      </c>
    </row>
    <row r="32" spans="1:10" ht="12.75">
      <c r="A32" s="184" t="s">
        <v>287</v>
      </c>
      <c r="B32" s="181"/>
      <c r="C32" s="181"/>
      <c r="D32" s="181"/>
      <c r="E32" s="181"/>
      <c r="F32" s="189">
        <v>1500000</v>
      </c>
      <c r="G32" s="185">
        <f>F32</f>
        <v>1500000</v>
      </c>
      <c r="H32" s="186" t="str">
        <f>INDEX($K$1:$AJ$3,3,COUNTA(H$4:H31)+1)</f>
        <v>(S)</v>
      </c>
      <c r="I32" s="187">
        <f t="shared" si="5"/>
        <v>5.27700772553931</v>
      </c>
      <c r="J32" s="187">
        <f t="shared" si="5"/>
        <v>5.27700772553931</v>
      </c>
    </row>
    <row r="33" spans="1:10" ht="6" customHeight="1">
      <c r="A33" s="184"/>
      <c r="B33" s="181"/>
      <c r="C33" s="181"/>
      <c r="D33" s="181"/>
      <c r="E33" s="181"/>
      <c r="F33" s="191" t="s">
        <v>262</v>
      </c>
      <c r="G33" s="191"/>
      <c r="I33" s="191" t="s">
        <v>262</v>
      </c>
      <c r="J33" s="191" t="s">
        <v>262</v>
      </c>
    </row>
    <row r="34" spans="1:10" ht="12.75">
      <c r="A34" s="174" t="s">
        <v>288</v>
      </c>
      <c r="B34" s="181"/>
      <c r="C34" s="181"/>
      <c r="D34" s="181"/>
      <c r="E34" s="181"/>
      <c r="F34" s="185">
        <f>SUM(F27:F33)</f>
        <v>16335000</v>
      </c>
      <c r="G34" s="185">
        <f>SUM(G27:G33)</f>
        <v>17045500</v>
      </c>
      <c r="I34" s="187">
        <f>F34/$F$64</f>
        <v>57.46661413112309</v>
      </c>
      <c r="J34" s="187">
        <f>G34/$F$64</f>
        <v>59.96615679045354</v>
      </c>
    </row>
    <row r="35" spans="1:9" ht="12.75">
      <c r="A35" s="184"/>
      <c r="B35" s="181"/>
      <c r="C35" s="181"/>
      <c r="D35" s="181"/>
      <c r="E35" s="181"/>
      <c r="F35" s="185"/>
      <c r="G35" s="185"/>
      <c r="I35" s="187"/>
    </row>
    <row r="36" spans="1:9" ht="12.75">
      <c r="A36" s="174" t="s">
        <v>289</v>
      </c>
      <c r="B36" s="181"/>
      <c r="C36" s="181"/>
      <c r="D36" s="181"/>
      <c r="E36" s="181"/>
      <c r="F36" s="185"/>
      <c r="G36" s="185"/>
      <c r="I36" s="187"/>
    </row>
    <row r="37" spans="1:10" ht="12.75">
      <c r="A37" s="184" t="s">
        <v>290</v>
      </c>
      <c r="B37" s="181"/>
      <c r="C37" s="181"/>
      <c r="D37" s="181"/>
      <c r="E37" s="181"/>
      <c r="F37" s="185">
        <v>208000</v>
      </c>
      <c r="G37" s="185">
        <f>F37</f>
        <v>208000</v>
      </c>
      <c r="I37" s="187">
        <f aca="true" t="shared" si="6" ref="I37:J41">F37/$F$64</f>
        <v>0.7317450712747844</v>
      </c>
      <c r="J37" s="187">
        <f t="shared" si="6"/>
        <v>0.7317450712747844</v>
      </c>
    </row>
    <row r="38" spans="1:10" ht="12.75">
      <c r="A38" s="184" t="s">
        <v>291</v>
      </c>
      <c r="B38" s="181"/>
      <c r="C38" s="181"/>
      <c r="D38" s="181"/>
      <c r="E38" s="181"/>
      <c r="F38" s="185">
        <v>375000</v>
      </c>
      <c r="G38" s="185">
        <f>F38</f>
        <v>375000</v>
      </c>
      <c r="I38" s="187">
        <f t="shared" si="6"/>
        <v>1.3192519313848274</v>
      </c>
      <c r="J38" s="187">
        <f t="shared" si="6"/>
        <v>1.3192519313848274</v>
      </c>
    </row>
    <row r="39" spans="1:10" ht="12.75">
      <c r="A39" s="184" t="s">
        <v>292</v>
      </c>
      <c r="B39" s="181"/>
      <c r="C39" s="181"/>
      <c r="D39" s="181"/>
      <c r="E39" s="181"/>
      <c r="F39" s="185">
        <v>70000</v>
      </c>
      <c r="G39" s="185">
        <f>F39</f>
        <v>70000</v>
      </c>
      <c r="I39" s="187">
        <f t="shared" si="6"/>
        <v>0.2462603605251678</v>
      </c>
      <c r="J39" s="187">
        <f t="shared" si="6"/>
        <v>0.2462603605251678</v>
      </c>
    </row>
    <row r="40" spans="1:10" ht="12.75">
      <c r="A40" s="184" t="s">
        <v>293</v>
      </c>
      <c r="B40" s="181"/>
      <c r="C40" s="181"/>
      <c r="D40" s="181"/>
      <c r="E40" s="181"/>
      <c r="F40" s="185">
        <v>150000</v>
      </c>
      <c r="G40" s="185">
        <f>F40</f>
        <v>150000</v>
      </c>
      <c r="I40" s="187">
        <f t="shared" si="6"/>
        <v>0.527700772553931</v>
      </c>
      <c r="J40" s="187">
        <f t="shared" si="6"/>
        <v>0.527700772553931</v>
      </c>
    </row>
    <row r="41" spans="1:10" ht="12.75">
      <c r="A41" s="184" t="s">
        <v>294</v>
      </c>
      <c r="B41" s="181"/>
      <c r="C41" s="181"/>
      <c r="D41" s="181"/>
      <c r="E41" s="181"/>
      <c r="F41" s="189">
        <v>100000</v>
      </c>
      <c r="G41" s="185">
        <f>F41</f>
        <v>100000</v>
      </c>
      <c r="I41" s="187">
        <f t="shared" si="6"/>
        <v>0.351800515035954</v>
      </c>
      <c r="J41" s="187">
        <f t="shared" si="6"/>
        <v>0.351800515035954</v>
      </c>
    </row>
    <row r="42" spans="1:10" ht="6" customHeight="1">
      <c r="A42" s="184"/>
      <c r="B42" s="181"/>
      <c r="C42" s="181"/>
      <c r="D42" s="181"/>
      <c r="E42" s="181"/>
      <c r="F42" s="191" t="s">
        <v>262</v>
      </c>
      <c r="G42" s="191"/>
      <c r="I42" s="191" t="s">
        <v>262</v>
      </c>
      <c r="J42" s="191" t="s">
        <v>262</v>
      </c>
    </row>
    <row r="43" spans="1:10" ht="12.75">
      <c r="A43" s="174" t="s">
        <v>295</v>
      </c>
      <c r="B43" s="181"/>
      <c r="C43" s="181"/>
      <c r="D43" s="181"/>
      <c r="E43" s="181"/>
      <c r="F43" s="185">
        <f>SUM(F37:F41)</f>
        <v>903000</v>
      </c>
      <c r="G43" s="185">
        <f>SUM(G37:G41)</f>
        <v>903000</v>
      </c>
      <c r="H43" s="186" t="str">
        <f>INDEX($K$1:$AJ$3,3,COUNTA(H$4:H36)+1)</f>
        <v>(T)</v>
      </c>
      <c r="I43" s="187">
        <f>F43/$F$64</f>
        <v>3.176758650774665</v>
      </c>
      <c r="J43" s="187">
        <f>G43/$F$64</f>
        <v>3.176758650774665</v>
      </c>
    </row>
    <row r="44" spans="1:10" ht="12.75">
      <c r="A44" s="184"/>
      <c r="B44" s="181"/>
      <c r="C44" s="181"/>
      <c r="D44" s="181"/>
      <c r="E44" s="181"/>
      <c r="F44" s="185"/>
      <c r="G44" s="185"/>
      <c r="I44" s="187"/>
      <c r="J44" s="187"/>
    </row>
    <row r="45" spans="1:10" ht="12.75">
      <c r="A45" s="184"/>
      <c r="B45" s="181"/>
      <c r="C45" s="181"/>
      <c r="D45" s="181"/>
      <c r="E45" s="181"/>
      <c r="F45" s="185"/>
      <c r="G45" s="185"/>
      <c r="I45" s="187"/>
      <c r="J45" s="187"/>
    </row>
    <row r="46" spans="1:10" ht="12.75">
      <c r="A46" s="174" t="s">
        <v>296</v>
      </c>
      <c r="B46" s="181"/>
      <c r="C46" s="181"/>
      <c r="D46" s="181"/>
      <c r="E46" s="181"/>
      <c r="F46" s="185"/>
      <c r="G46" s="185"/>
      <c r="I46" s="187"/>
      <c r="J46" s="187"/>
    </row>
    <row r="47" spans="1:10" ht="12.75">
      <c r="A47" s="102" t="s">
        <v>297</v>
      </c>
      <c r="B47" s="181"/>
      <c r="C47" s="181"/>
      <c r="D47" s="181"/>
      <c r="E47" s="181"/>
      <c r="F47" s="185">
        <v>1470000</v>
      </c>
      <c r="G47" s="185">
        <v>1470000</v>
      </c>
      <c r="H47" s="186" t="str">
        <f>INDEX($K$1:$AJ$3,3,COUNTA(H$4:H43)+1)</f>
        <v>(U)</v>
      </c>
      <c r="I47" s="187">
        <f>F47/$F$64</f>
        <v>5.171467571028524</v>
      </c>
      <c r="J47" s="187">
        <f>G47/$F$64</f>
        <v>5.171467571028524</v>
      </c>
    </row>
    <row r="48" spans="1:10" ht="12.75">
      <c r="A48" s="184" t="s">
        <v>298</v>
      </c>
      <c r="B48" s="181"/>
      <c r="C48" s="181"/>
      <c r="D48" s="181"/>
      <c r="E48" s="181"/>
      <c r="F48" s="189">
        <v>2740000</v>
      </c>
      <c r="G48" s="189">
        <v>2740000</v>
      </c>
      <c r="H48" s="186" t="str">
        <f>INDEX($K$1:$AJ$3,3,COUNTA(H$4:H47)+1)</f>
        <v>(V)</v>
      </c>
      <c r="I48" s="187">
        <f>F48/$F$64</f>
        <v>9.63933411198514</v>
      </c>
      <c r="J48" s="187">
        <f>G48/$F$64</f>
        <v>9.63933411198514</v>
      </c>
    </row>
    <row r="49" spans="1:10" ht="6" customHeight="1">
      <c r="A49" s="184"/>
      <c r="B49" s="181"/>
      <c r="C49" s="181"/>
      <c r="D49" s="181"/>
      <c r="E49" s="181"/>
      <c r="F49" s="191" t="s">
        <v>262</v>
      </c>
      <c r="G49" s="191" t="s">
        <v>262</v>
      </c>
      <c r="I49" s="191" t="s">
        <v>262</v>
      </c>
      <c r="J49" s="191" t="s">
        <v>262</v>
      </c>
    </row>
    <row r="50" spans="1:10" ht="12.75">
      <c r="A50" s="174" t="s">
        <v>299</v>
      </c>
      <c r="B50" s="181"/>
      <c r="C50" s="181"/>
      <c r="D50" s="181"/>
      <c r="E50" s="181"/>
      <c r="F50" s="185">
        <f>SUM(F47:F48)</f>
        <v>4210000</v>
      </c>
      <c r="G50" s="185">
        <f>SUM(G47:G48)</f>
        <v>4210000</v>
      </c>
      <c r="I50" s="187">
        <f>F50/$F$64</f>
        <v>14.810801683013663</v>
      </c>
      <c r="J50" s="187">
        <f>G50/$F$64</f>
        <v>14.810801683013663</v>
      </c>
    </row>
    <row r="51" spans="1:10" ht="12.75">
      <c r="A51" s="184"/>
      <c r="B51" s="181"/>
      <c r="C51" s="181"/>
      <c r="D51" s="181"/>
      <c r="E51" s="181"/>
      <c r="F51" s="185"/>
      <c r="G51" s="185"/>
      <c r="I51" s="187"/>
      <c r="J51" s="187"/>
    </row>
    <row r="52" spans="1:10" ht="12.75">
      <c r="A52" s="174" t="s">
        <v>300</v>
      </c>
      <c r="B52" s="181"/>
      <c r="C52" s="181"/>
      <c r="D52" s="181"/>
      <c r="E52" s="181"/>
      <c r="F52" s="185"/>
      <c r="G52" s="185"/>
      <c r="I52" s="187"/>
      <c r="J52" s="187"/>
    </row>
    <row r="53" spans="1:10" ht="12.75">
      <c r="A53" s="184" t="s">
        <v>301</v>
      </c>
      <c r="B53" s="181"/>
      <c r="C53" s="181"/>
      <c r="D53" s="181"/>
      <c r="E53" s="181"/>
      <c r="F53" s="189">
        <v>2700000</v>
      </c>
      <c r="G53" s="189">
        <v>2700000</v>
      </c>
      <c r="H53" s="186" t="str">
        <f>INDEX($K$1:$AJ$3,3,COUNTA(H$4:H48)+1)</f>
        <v>(W)</v>
      </c>
      <c r="I53" s="187">
        <f>F53/$F$64</f>
        <v>9.498613905970759</v>
      </c>
      <c r="J53" s="187">
        <f>G53/$F$64</f>
        <v>9.498613905970759</v>
      </c>
    </row>
    <row r="54" spans="1:10" ht="6" customHeight="1">
      <c r="A54" s="184"/>
      <c r="B54" s="181"/>
      <c r="C54" s="181"/>
      <c r="D54" s="181"/>
      <c r="E54" s="181"/>
      <c r="F54" s="191" t="s">
        <v>262</v>
      </c>
      <c r="G54" s="191" t="s">
        <v>262</v>
      </c>
      <c r="I54" s="191" t="s">
        <v>262</v>
      </c>
      <c r="J54" s="191" t="s">
        <v>262</v>
      </c>
    </row>
    <row r="55" spans="1:10" ht="12.75">
      <c r="A55" s="174" t="s">
        <v>302</v>
      </c>
      <c r="B55" s="181"/>
      <c r="C55" s="181"/>
      <c r="D55" s="181"/>
      <c r="E55" s="181"/>
      <c r="F55" s="185">
        <f>SUM(F53:F53)</f>
        <v>2700000</v>
      </c>
      <c r="G55" s="185">
        <f>SUM(G53:G53)</f>
        <v>2700000</v>
      </c>
      <c r="I55" s="187">
        <f>F55/$F$64</f>
        <v>9.498613905970759</v>
      </c>
      <c r="J55" s="187">
        <f>G55/$F$64</f>
        <v>9.498613905970759</v>
      </c>
    </row>
    <row r="56" spans="1:10" ht="12.75">
      <c r="A56" s="174"/>
      <c r="B56" s="181"/>
      <c r="C56" s="181"/>
      <c r="D56" s="181"/>
      <c r="E56" s="181"/>
      <c r="F56" s="185"/>
      <c r="G56" s="185"/>
      <c r="I56" s="187"/>
      <c r="J56" s="187"/>
    </row>
    <row r="57" spans="1:10" ht="33.75">
      <c r="A57" s="174" t="s">
        <v>303</v>
      </c>
      <c r="B57" s="181"/>
      <c r="C57" s="181"/>
      <c r="D57" s="181"/>
      <c r="E57" s="181"/>
      <c r="F57" s="185"/>
      <c r="G57" s="193">
        <f>'[1]KC format'!Q78</f>
        <v>885544</v>
      </c>
      <c r="H57" s="201" t="s">
        <v>304</v>
      </c>
      <c r="I57" s="187">
        <f>F57/$F$64</f>
        <v>0</v>
      </c>
      <c r="J57" s="187">
        <f>G57/$F$64</f>
        <v>3.115348352869989</v>
      </c>
    </row>
    <row r="58" spans="1:10" ht="12.75">
      <c r="A58" s="184"/>
      <c r="B58" s="181"/>
      <c r="C58" s="181"/>
      <c r="D58" s="181"/>
      <c r="E58" s="181"/>
      <c r="F58" s="185"/>
      <c r="G58" s="185"/>
      <c r="H58" s="183"/>
      <c r="I58" s="187"/>
      <c r="J58" s="187"/>
    </row>
    <row r="59" spans="1:10" ht="14.25">
      <c r="A59" s="174" t="s">
        <v>305</v>
      </c>
      <c r="B59" s="181"/>
      <c r="C59" s="181"/>
      <c r="D59" s="181"/>
      <c r="E59" s="181"/>
      <c r="F59" s="202">
        <f>F55+F50+F43+F24+F13+F34+F57</f>
        <v>88970000</v>
      </c>
      <c r="G59" s="202">
        <f>G55+G50+G43+G24+G13+G34+G57</f>
        <v>90596349.8</v>
      </c>
      <c r="H59" s="203"/>
      <c r="I59" s="204">
        <f>F59/$F$64</f>
        <v>312.99691822748827</v>
      </c>
      <c r="J59" s="205">
        <f>J55+J50+J43+J24+J13+J34+J57</f>
        <v>318.71842520017447</v>
      </c>
    </row>
    <row r="60" spans="1:9" ht="12.75">
      <c r="A60" s="206"/>
      <c r="B60" s="207"/>
      <c r="C60" s="181"/>
      <c r="D60" s="181"/>
      <c r="E60" s="181"/>
      <c r="F60" s="208"/>
      <c r="G60" s="208"/>
      <c r="I60" s="187"/>
    </row>
    <row r="61" spans="1:9" ht="12.75">
      <c r="A61" s="184"/>
      <c r="B61" s="181"/>
      <c r="C61" s="181"/>
      <c r="D61" s="181"/>
      <c r="E61" s="181"/>
      <c r="F61" s="189"/>
      <c r="G61" s="189"/>
      <c r="I61" s="187"/>
    </row>
    <row r="62" spans="1:9" ht="12.75">
      <c r="A62" s="184"/>
      <c r="B62" s="181"/>
      <c r="C62" s="181"/>
      <c r="D62" s="181"/>
      <c r="E62" s="181"/>
      <c r="F62" s="189"/>
      <c r="G62" s="189"/>
      <c r="I62" s="187"/>
    </row>
    <row r="63" spans="1:9" ht="6" customHeight="1">
      <c r="A63" s="184"/>
      <c r="B63" s="181"/>
      <c r="C63" s="181"/>
      <c r="D63" s="181"/>
      <c r="E63" s="181"/>
      <c r="F63" s="191"/>
      <c r="G63" s="191"/>
      <c r="I63" s="191"/>
    </row>
    <row r="64" spans="1:9" ht="15">
      <c r="A64" s="206" t="s">
        <v>306</v>
      </c>
      <c r="B64" s="207"/>
      <c r="C64" s="181"/>
      <c r="D64" s="181"/>
      <c r="E64" s="181"/>
      <c r="F64" s="209">
        <v>284252</v>
      </c>
      <c r="G64" s="209">
        <v>284252</v>
      </c>
      <c r="I64" s="187"/>
    </row>
    <row r="65" spans="1:9" ht="12.75">
      <c r="A65" t="s">
        <v>307</v>
      </c>
      <c r="F65" s="210">
        <v>296592</v>
      </c>
      <c r="G65" s="210">
        <v>296592</v>
      </c>
      <c r="I65" s="211">
        <f>F59/F65</f>
        <v>299.97437557317795</v>
      </c>
    </row>
    <row r="66" ht="12.75">
      <c r="A66" t="s">
        <v>308</v>
      </c>
    </row>
    <row r="69" ht="12.75">
      <c r="A69" s="213" t="s">
        <v>309</v>
      </c>
    </row>
    <row r="71" spans="6:7" ht="12.75">
      <c r="F71" s="214"/>
      <c r="G71" s="214"/>
    </row>
    <row r="72" spans="1:2" ht="12.75">
      <c r="A72" t="s">
        <v>310</v>
      </c>
      <c r="B72" t="s">
        <v>311</v>
      </c>
    </row>
    <row r="74" spans="1:2" ht="12.75">
      <c r="A74" t="s">
        <v>312</v>
      </c>
      <c r="B74" t="s">
        <v>313</v>
      </c>
    </row>
    <row r="76" spans="1:2" ht="12.75">
      <c r="A76" t="s">
        <v>314</v>
      </c>
      <c r="B76" t="s">
        <v>315</v>
      </c>
    </row>
    <row r="78" spans="1:2" ht="12.75">
      <c r="A78" t="s">
        <v>316</v>
      </c>
      <c r="B78" t="s">
        <v>317</v>
      </c>
    </row>
    <row r="80" spans="1:2" ht="12.75">
      <c r="A80" t="s">
        <v>318</v>
      </c>
      <c r="B80" t="s">
        <v>319</v>
      </c>
    </row>
    <row r="82" spans="1:2" ht="12.75">
      <c r="A82" t="s">
        <v>320</v>
      </c>
      <c r="B82" t="s">
        <v>321</v>
      </c>
    </row>
    <row r="84" spans="1:2" ht="12.75">
      <c r="A84" t="s">
        <v>322</v>
      </c>
      <c r="B84" t="s">
        <v>323</v>
      </c>
    </row>
    <row r="86" spans="1:2" ht="12.75">
      <c r="A86" t="s">
        <v>324</v>
      </c>
      <c r="B86" t="s">
        <v>325</v>
      </c>
    </row>
    <row r="88" spans="1:2" ht="12.75">
      <c r="A88" t="s">
        <v>268</v>
      </c>
      <c r="B88" t="s">
        <v>326</v>
      </c>
    </row>
    <row r="90" spans="1:2" ht="12.75">
      <c r="A90" t="s">
        <v>270</v>
      </c>
      <c r="B90" t="s">
        <v>327</v>
      </c>
    </row>
    <row r="92" spans="1:2" ht="12.75">
      <c r="A92" t="s">
        <v>328</v>
      </c>
      <c r="B92" t="s">
        <v>329</v>
      </c>
    </row>
    <row r="94" spans="1:2" ht="12.75">
      <c r="A94" t="s">
        <v>274</v>
      </c>
      <c r="B94" t="s">
        <v>330</v>
      </c>
    </row>
    <row r="96" spans="1:2" ht="12.75">
      <c r="A96" t="s">
        <v>276</v>
      </c>
      <c r="B96" t="s">
        <v>331</v>
      </c>
    </row>
    <row r="98" spans="1:2" ht="12.75">
      <c r="A98" t="s">
        <v>332</v>
      </c>
      <c r="B98" t="s">
        <v>333</v>
      </c>
    </row>
    <row r="100" spans="1:2" ht="12.75">
      <c r="A100" t="s">
        <v>285</v>
      </c>
      <c r="B100" t="s">
        <v>334</v>
      </c>
    </row>
    <row r="102" spans="1:2" ht="12.75">
      <c r="A102" t="s">
        <v>335</v>
      </c>
      <c r="B102" t="s">
        <v>336</v>
      </c>
    </row>
    <row r="104" spans="1:2" ht="12.75">
      <c r="A104" t="s">
        <v>337</v>
      </c>
      <c r="B104" t="s">
        <v>338</v>
      </c>
    </row>
    <row r="106" spans="1:2" ht="12.75">
      <c r="A106" t="s">
        <v>339</v>
      </c>
      <c r="B106" t="s">
        <v>340</v>
      </c>
    </row>
    <row r="108" spans="1:2" ht="12.75">
      <c r="A108" t="s">
        <v>341</v>
      </c>
      <c r="B108" t="s">
        <v>342</v>
      </c>
    </row>
    <row r="110" spans="1:2" ht="12.75">
      <c r="A110" t="s">
        <v>343</v>
      </c>
      <c r="B110" t="s">
        <v>344</v>
      </c>
    </row>
    <row r="112" spans="1:2" ht="12.75">
      <c r="A112" t="s">
        <v>345</v>
      </c>
      <c r="B112" t="s">
        <v>346</v>
      </c>
    </row>
    <row r="121" spans="11:12" ht="12.75">
      <c r="K121" s="215"/>
      <c r="L121" s="215"/>
    </row>
    <row r="122" spans="11:12" ht="12.75">
      <c r="K122" s="215"/>
      <c r="L122" s="215"/>
    </row>
    <row r="123" spans="11:12" ht="12.75">
      <c r="K123" s="215"/>
      <c r="L123" s="215"/>
    </row>
    <row r="124" spans="11:12" ht="12.75">
      <c r="K124" s="215"/>
      <c r="L124" s="215"/>
    </row>
    <row r="125" spans="11:12" ht="12.75">
      <c r="K125" s="215"/>
      <c r="L125" s="215"/>
    </row>
    <row r="126" spans="11:12" ht="12.75">
      <c r="K126" s="215"/>
      <c r="L126" s="215"/>
    </row>
    <row r="127" spans="11:12" ht="12.75">
      <c r="K127" s="215"/>
      <c r="L127" s="215"/>
    </row>
    <row r="128" spans="11:12" ht="12.75">
      <c r="K128" s="215"/>
      <c r="L128" s="215"/>
    </row>
    <row r="129" spans="11:12" ht="12.75">
      <c r="K129" s="215"/>
      <c r="L129" s="215"/>
    </row>
    <row r="130" spans="11:12" ht="12.75">
      <c r="K130" s="215"/>
      <c r="L130" s="215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9">
      <selection activeCell="B32" sqref="B32"/>
    </sheetView>
  </sheetViews>
  <sheetFormatPr defaultColWidth="9.140625" defaultRowHeight="12.75"/>
  <cols>
    <col min="1" max="1" width="50.7109375" style="1" customWidth="1"/>
    <col min="2" max="4" width="20.7109375" style="122" customWidth="1"/>
    <col min="5" max="5" width="16.421875" style="6" customWidth="1"/>
    <col min="6" max="6" width="40.7109375" style="231" customWidth="1"/>
    <col min="7" max="7" width="20.7109375" style="236" customWidth="1"/>
    <col min="8" max="8" width="10.140625" style="221" customWidth="1"/>
    <col min="9" max="16384" width="9.140625" style="1" customWidth="1"/>
  </cols>
  <sheetData>
    <row r="1" spans="1:7" ht="13.5" thickTop="1">
      <c r="A1" s="216" t="s">
        <v>347</v>
      </c>
      <c r="B1" s="217" t="s">
        <v>348</v>
      </c>
      <c r="C1" s="218"/>
      <c r="D1" s="218"/>
      <c r="F1" s="219" t="s">
        <v>349</v>
      </c>
      <c r="G1" s="220"/>
    </row>
    <row r="2" spans="1:7" ht="12.75">
      <c r="A2" s="222"/>
      <c r="B2" s="223" t="s">
        <v>350</v>
      </c>
      <c r="C2" s="224"/>
      <c r="D2" s="224"/>
      <c r="F2" s="225"/>
      <c r="G2" s="226"/>
    </row>
    <row r="3" spans="1:8" ht="12.75">
      <c r="A3" s="222"/>
      <c r="B3" s="223"/>
      <c r="C3" s="224"/>
      <c r="D3" s="224"/>
      <c r="F3" s="225" t="s">
        <v>351</v>
      </c>
      <c r="G3" s="226">
        <f>'[4]Goat Hill Dvlpr.'!F78</f>
        <v>80165710</v>
      </c>
      <c r="H3" s="221" t="s">
        <v>95</v>
      </c>
    </row>
    <row r="4" spans="1:7" ht="12.75">
      <c r="A4" s="222" t="s">
        <v>352</v>
      </c>
      <c r="B4" s="227">
        <v>540000</v>
      </c>
      <c r="C4" s="228"/>
      <c r="D4" s="228"/>
      <c r="F4" s="225" t="s">
        <v>95</v>
      </c>
      <c r="G4" s="226"/>
    </row>
    <row r="5" spans="1:8" ht="12.75">
      <c r="A5" s="222"/>
      <c r="B5" s="223"/>
      <c r="C5" s="224"/>
      <c r="D5" s="224"/>
      <c r="F5" s="225" t="s">
        <v>95</v>
      </c>
      <c r="G5" s="226" t="s">
        <v>95</v>
      </c>
      <c r="H5" s="221" t="s">
        <v>95</v>
      </c>
    </row>
    <row r="6" spans="1:7" ht="12.75">
      <c r="A6" s="222" t="s">
        <v>353</v>
      </c>
      <c r="B6" s="229">
        <v>100000</v>
      </c>
      <c r="C6" s="230"/>
      <c r="D6" s="230"/>
      <c r="E6" s="231"/>
      <c r="F6" s="232" t="s">
        <v>354</v>
      </c>
      <c r="G6" s="226"/>
    </row>
    <row r="7" spans="1:8" ht="12.75">
      <c r="A7" s="222" t="s">
        <v>355</v>
      </c>
      <c r="B7" s="229">
        <v>50000</v>
      </c>
      <c r="C7" s="230"/>
      <c r="D7" s="230"/>
      <c r="E7" s="231"/>
      <c r="F7" s="232" t="s">
        <v>95</v>
      </c>
      <c r="G7" s="226" t="s">
        <v>95</v>
      </c>
      <c r="H7" s="221" t="s">
        <v>95</v>
      </c>
    </row>
    <row r="8" spans="1:7" ht="12.75">
      <c r="A8" s="222"/>
      <c r="B8" s="229"/>
      <c r="C8" s="230"/>
      <c r="D8" s="230"/>
      <c r="E8" s="231"/>
      <c r="F8" s="232" t="s">
        <v>95</v>
      </c>
      <c r="G8" s="226"/>
    </row>
    <row r="9" spans="1:8" ht="12.75">
      <c r="A9" s="222" t="s">
        <v>356</v>
      </c>
      <c r="B9" s="229">
        <v>65000</v>
      </c>
      <c r="C9" s="230"/>
      <c r="D9" s="230"/>
      <c r="E9" s="231"/>
      <c r="F9" s="232" t="s">
        <v>357</v>
      </c>
      <c r="G9" s="226">
        <f>G3*5.25%/12*(18+9)</f>
        <v>9469574.493749999</v>
      </c>
      <c r="H9" s="233" t="s">
        <v>95</v>
      </c>
    </row>
    <row r="10" spans="1:7" ht="12.75">
      <c r="A10" s="222" t="s">
        <v>358</v>
      </c>
      <c r="B10" s="229">
        <v>15000</v>
      </c>
      <c r="C10" s="230"/>
      <c r="D10" s="230"/>
      <c r="E10" s="231"/>
      <c r="F10" s="232"/>
      <c r="G10" s="226"/>
    </row>
    <row r="11" spans="1:7" ht="12.75">
      <c r="A11" s="222" t="s">
        <v>359</v>
      </c>
      <c r="B11" s="229">
        <v>15000</v>
      </c>
      <c r="C11" s="230"/>
      <c r="D11" s="230"/>
      <c r="E11" s="231"/>
      <c r="F11" s="232" t="s">
        <v>360</v>
      </c>
      <c r="G11" s="226"/>
    </row>
    <row r="12" spans="1:8" ht="12.75">
      <c r="A12" s="222" t="s">
        <v>361</v>
      </c>
      <c r="B12" s="229">
        <v>15000</v>
      </c>
      <c r="C12" s="230"/>
      <c r="D12" s="230"/>
      <c r="E12" s="231"/>
      <c r="F12" s="232" t="s">
        <v>362</v>
      </c>
      <c r="G12" s="226"/>
      <c r="H12" s="221" t="s">
        <v>95</v>
      </c>
    </row>
    <row r="13" spans="1:7" ht="12.75">
      <c r="A13" s="222" t="s">
        <v>363</v>
      </c>
      <c r="B13" s="229">
        <v>15000</v>
      </c>
      <c r="C13" s="230"/>
      <c r="D13" s="230"/>
      <c r="E13" s="231"/>
      <c r="F13" s="232" t="s">
        <v>364</v>
      </c>
      <c r="G13" s="226"/>
    </row>
    <row r="14" spans="1:7" ht="12.75">
      <c r="A14" s="222" t="s">
        <v>365</v>
      </c>
      <c r="B14" s="229">
        <v>5000</v>
      </c>
      <c r="C14" s="230"/>
      <c r="D14" s="230"/>
      <c r="E14" s="231"/>
      <c r="F14" s="232" t="s">
        <v>366</v>
      </c>
      <c r="G14" s="226"/>
    </row>
    <row r="15" spans="1:7" ht="12.75">
      <c r="A15" s="222"/>
      <c r="B15" s="229"/>
      <c r="C15" s="230"/>
      <c r="D15" s="230"/>
      <c r="E15" s="231"/>
      <c r="F15" s="232" t="s">
        <v>367</v>
      </c>
      <c r="G15" s="226"/>
    </row>
    <row r="16" spans="1:7" ht="12.75">
      <c r="A16" s="222" t="s">
        <v>368</v>
      </c>
      <c r="B16" s="229">
        <v>325000</v>
      </c>
      <c r="C16" s="230"/>
      <c r="D16" s="230"/>
      <c r="E16" s="231"/>
      <c r="F16" s="232"/>
      <c r="G16" s="226"/>
    </row>
    <row r="17" spans="1:7" ht="12.75">
      <c r="A17" s="222" t="s">
        <v>369</v>
      </c>
      <c r="B17" s="229">
        <v>30000</v>
      </c>
      <c r="C17" s="230"/>
      <c r="D17" s="230"/>
      <c r="E17" s="231"/>
      <c r="F17" s="232" t="s">
        <v>370</v>
      </c>
      <c r="G17" s="226"/>
    </row>
    <row r="18" spans="1:7" ht="12.75">
      <c r="A18" s="222"/>
      <c r="B18" s="229"/>
      <c r="C18" s="230"/>
      <c r="D18" s="230"/>
      <c r="E18" s="231"/>
      <c r="F18" s="232" t="s">
        <v>371</v>
      </c>
      <c r="G18" s="226">
        <f>G9*33%</f>
        <v>3124959.5829374995</v>
      </c>
    </row>
    <row r="19" spans="1:7" ht="12.75">
      <c r="A19" s="222" t="s">
        <v>372</v>
      </c>
      <c r="B19" s="229">
        <v>500000</v>
      </c>
      <c r="C19" s="230"/>
      <c r="D19" s="230"/>
      <c r="E19" s="231"/>
      <c r="F19" s="225"/>
      <c r="G19" s="226"/>
    </row>
    <row r="20" spans="1:7" ht="13.5" thickBot="1">
      <c r="A20" s="222" t="s">
        <v>373</v>
      </c>
      <c r="B20" s="229">
        <v>150000</v>
      </c>
      <c r="C20" s="230"/>
      <c r="D20" s="230"/>
      <c r="E20" s="231"/>
      <c r="F20" s="234" t="s">
        <v>374</v>
      </c>
      <c r="G20" s="235">
        <f>G9*66.666%</f>
        <v>6312986.532003373</v>
      </c>
    </row>
    <row r="21" spans="1:6" ht="13.5" thickTop="1">
      <c r="A21" s="222" t="s">
        <v>375</v>
      </c>
      <c r="B21" s="229">
        <v>150000</v>
      </c>
      <c r="C21" s="230"/>
      <c r="D21" s="230"/>
      <c r="E21" s="231"/>
      <c r="F21" s="221"/>
    </row>
    <row r="22" spans="1:6" ht="12.75">
      <c r="A22" s="222"/>
      <c r="B22" s="229"/>
      <c r="C22" s="230"/>
      <c r="D22" s="230"/>
      <c r="E22" s="231"/>
      <c r="F22" s="221"/>
    </row>
    <row r="23" spans="1:6" ht="12.75">
      <c r="A23" s="222" t="s">
        <v>376</v>
      </c>
      <c r="B23" s="229">
        <v>500000</v>
      </c>
      <c r="C23" s="230"/>
      <c r="D23" s="230"/>
      <c r="E23" s="231"/>
      <c r="F23" s="221"/>
    </row>
    <row r="24" spans="1:6" ht="12.75">
      <c r="A24" s="222" t="s">
        <v>377</v>
      </c>
      <c r="B24" s="229">
        <v>25000</v>
      </c>
      <c r="C24" s="230"/>
      <c r="D24" s="230"/>
      <c r="E24" s="231"/>
      <c r="F24" s="221"/>
    </row>
    <row r="25" spans="1:6" ht="12.75">
      <c r="A25" s="222"/>
      <c r="B25" s="229"/>
      <c r="C25" s="230"/>
      <c r="D25" s="230"/>
      <c r="E25" s="231"/>
      <c r="F25" s="221"/>
    </row>
    <row r="26" spans="1:6" ht="12.75">
      <c r="A26" s="237" t="s">
        <v>59</v>
      </c>
      <c r="B26" s="229">
        <f>SUM(B4:B24)</f>
        <v>2500000</v>
      </c>
      <c r="C26" s="230"/>
      <c r="D26" s="230"/>
      <c r="E26" s="231"/>
      <c r="F26" s="221"/>
    </row>
    <row r="27" spans="1:5" ht="13.5" thickBot="1">
      <c r="A27" s="238"/>
      <c r="B27" s="239"/>
      <c r="C27" s="224"/>
      <c r="D27" s="224"/>
      <c r="E27" s="240"/>
    </row>
    <row r="28" ht="13.5" thickTop="1"/>
    <row r="29" spans="1:4" ht="12.75">
      <c r="A29" s="1" t="s">
        <v>378</v>
      </c>
      <c r="B29" s="241">
        <f>'[1]KC Summary worksheet'!C42</f>
        <v>710000</v>
      </c>
      <c r="C29" s="242"/>
      <c r="D29" s="242"/>
    </row>
    <row r="30" spans="1:4" ht="12.75">
      <c r="A30" s="1" t="s">
        <v>379</v>
      </c>
      <c r="B30" s="242">
        <f>B29+B23</f>
        <v>1210000</v>
      </c>
      <c r="C30" s="242"/>
      <c r="D30" s="242"/>
    </row>
    <row r="32" spans="1:4" ht="18.75">
      <c r="A32" s="1" t="s">
        <v>380</v>
      </c>
      <c r="B32" s="243">
        <f>B26+B29</f>
        <v>3210000</v>
      </c>
      <c r="C32" s="243"/>
      <c r="D32" s="243"/>
    </row>
    <row r="35" ht="12.75">
      <c r="B35" s="122" t="s">
        <v>381</v>
      </c>
    </row>
    <row r="38" spans="3:7" ht="12.75">
      <c r="C38" s="122" t="s">
        <v>59</v>
      </c>
      <c r="D38" s="122" t="s">
        <v>382</v>
      </c>
      <c r="E38" s="6" t="s">
        <v>383</v>
      </c>
      <c r="F38" s="231" t="s">
        <v>384</v>
      </c>
      <c r="G38" s="236" t="s">
        <v>385</v>
      </c>
    </row>
    <row r="39" spans="1:7" ht="12.75">
      <c r="A39" s="1" t="s">
        <v>386</v>
      </c>
      <c r="B39" s="122" t="s">
        <v>387</v>
      </c>
      <c r="C39" s="244">
        <v>425000</v>
      </c>
      <c r="D39" s="244">
        <v>375000</v>
      </c>
      <c r="E39" s="2">
        <v>100000</v>
      </c>
      <c r="F39" s="231">
        <v>-50000</v>
      </c>
      <c r="G39" s="236" t="s">
        <v>388</v>
      </c>
    </row>
    <row r="40" spans="1:7" ht="12.75">
      <c r="A40" s="1" t="s">
        <v>389</v>
      </c>
      <c r="B40" s="122" t="s">
        <v>390</v>
      </c>
      <c r="C40" s="244">
        <v>524924.2867106766</v>
      </c>
      <c r="D40" s="244">
        <v>224924.2867106766</v>
      </c>
      <c r="E40" s="2">
        <v>300000</v>
      </c>
      <c r="G40" s="236" t="s">
        <v>391</v>
      </c>
    </row>
    <row r="41" spans="1:5" ht="12.75">
      <c r="A41" s="1" t="s">
        <v>392</v>
      </c>
      <c r="B41" s="122" t="s">
        <v>393</v>
      </c>
      <c r="C41" s="244">
        <v>257029.6598610143</v>
      </c>
      <c r="D41" s="244">
        <v>257029.6598610143</v>
      </c>
      <c r="E41" s="2"/>
    </row>
    <row r="42" spans="3:5" ht="12.75">
      <c r="C42" s="244">
        <v>1206953.946571691</v>
      </c>
      <c r="D42" s="244"/>
      <c r="E42" s="2"/>
    </row>
    <row r="43" spans="3:5" ht="12.75">
      <c r="C43" s="244"/>
      <c r="D43" s="244"/>
      <c r="E43" s="2"/>
    </row>
    <row r="44" spans="1:5" ht="12.75">
      <c r="A44" s="1" t="s">
        <v>394</v>
      </c>
      <c r="C44" s="244">
        <v>1210000</v>
      </c>
      <c r="D44" s="244"/>
      <c r="E44" s="2"/>
    </row>
    <row r="45" spans="1:5" ht="12.75">
      <c r="A45" s="1" t="s">
        <v>395</v>
      </c>
      <c r="C45" s="244">
        <v>500000</v>
      </c>
      <c r="D45" s="244"/>
      <c r="E45" s="2"/>
    </row>
    <row r="46" spans="1:5" ht="15">
      <c r="A46" s="1" t="s">
        <v>396</v>
      </c>
      <c r="C46" s="245">
        <v>710000</v>
      </c>
      <c r="D46" s="244"/>
      <c r="E46" s="2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193"/>
  <sheetViews>
    <sheetView workbookViewId="0" topLeftCell="A8">
      <selection activeCell="Q101" sqref="Q101"/>
    </sheetView>
  </sheetViews>
  <sheetFormatPr defaultColWidth="9.140625" defaultRowHeight="12.75"/>
  <cols>
    <col min="1" max="1" width="9.140625" style="18" customWidth="1"/>
    <col min="2" max="2" width="12.140625" style="18" customWidth="1"/>
    <col min="3" max="3" width="19.00390625" style="18" customWidth="1"/>
    <col min="4" max="4" width="21.28125" style="18" hidden="1" customWidth="1"/>
    <col min="5" max="5" width="10.421875" style="18" hidden="1" customWidth="1"/>
    <col min="6" max="6" width="0" style="18" hidden="1" customWidth="1"/>
    <col min="7" max="7" width="11.140625" style="18" hidden="1" customWidth="1"/>
    <col min="8" max="8" width="6.140625" style="18" hidden="1" customWidth="1"/>
    <col min="9" max="11" width="14.140625" style="18" hidden="1" customWidth="1"/>
    <col min="12" max="12" width="14.8515625" style="18" hidden="1" customWidth="1"/>
    <col min="13" max="13" width="13.140625" style="18" hidden="1" customWidth="1"/>
    <col min="14" max="14" width="13.140625" style="246" hidden="1" customWidth="1"/>
    <col min="15" max="15" width="13.57421875" style="18" hidden="1" customWidth="1"/>
    <col min="16" max="16" width="11.28125" style="18" hidden="1" customWidth="1"/>
    <col min="17" max="17" width="11.28125" style="247" customWidth="1"/>
    <col min="18" max="18" width="17.57421875" style="247" customWidth="1"/>
    <col min="19" max="20" width="17.57421875" style="247" hidden="1" customWidth="1"/>
    <col min="21" max="22" width="11.28125" style="18" hidden="1" customWidth="1"/>
    <col min="23" max="24" width="11.28125" style="411" hidden="1" customWidth="1"/>
    <col min="25" max="25" width="11.28125" style="18" hidden="1" customWidth="1"/>
    <col min="26" max="26" width="10.7109375" style="18" customWidth="1"/>
    <col min="27" max="27" width="12.140625" style="18" customWidth="1"/>
    <col min="28" max="28" width="12.00390625" style="18" bestFit="1" customWidth="1"/>
    <col min="29" max="16384" width="9.140625" style="18" customWidth="1"/>
  </cols>
  <sheetData>
    <row r="1" spans="2:24" ht="11.25" hidden="1">
      <c r="B1" s="82" t="s">
        <v>397</v>
      </c>
      <c r="C1" s="82"/>
      <c r="W1" s="246"/>
      <c r="X1" s="246"/>
    </row>
    <row r="2" spans="2:24" ht="11.25" hidden="1">
      <c r="B2" s="82" t="s">
        <v>398</v>
      </c>
      <c r="C2" s="82">
        <v>25</v>
      </c>
      <c r="W2" s="246"/>
      <c r="X2" s="246"/>
    </row>
    <row r="3" spans="2:24" ht="11.25" hidden="1">
      <c r="B3" s="82" t="s">
        <v>399</v>
      </c>
      <c r="C3" s="248">
        <v>0.0525</v>
      </c>
      <c r="W3" s="246"/>
      <c r="X3" s="246"/>
    </row>
    <row r="4" spans="2:24" ht="15.75" hidden="1">
      <c r="B4" s="85"/>
      <c r="C4" s="249"/>
      <c r="W4" s="246"/>
      <c r="X4" s="246"/>
    </row>
    <row r="5" spans="2:24" ht="11.25" hidden="1">
      <c r="B5" s="82"/>
      <c r="C5" s="248"/>
      <c r="W5" s="246"/>
      <c r="X5" s="246"/>
    </row>
    <row r="6" spans="2:24" ht="11.25" hidden="1">
      <c r="B6" s="82"/>
      <c r="C6" s="248"/>
      <c r="W6" s="246"/>
      <c r="X6" s="246"/>
    </row>
    <row r="7" spans="16:24" ht="12" hidden="1" thickBot="1">
      <c r="P7" s="18" t="s">
        <v>400</v>
      </c>
      <c r="Q7" s="253" t="s">
        <v>409</v>
      </c>
      <c r="W7" s="246"/>
      <c r="X7" s="246" t="s">
        <v>401</v>
      </c>
    </row>
    <row r="8" spans="2:28" ht="11.25">
      <c r="B8" s="18" t="s">
        <v>95</v>
      </c>
      <c r="I8" s="85" t="s">
        <v>49</v>
      </c>
      <c r="J8" s="85" t="s">
        <v>402</v>
      </c>
      <c r="K8" s="250" t="s">
        <v>403</v>
      </c>
      <c r="L8" s="250" t="s">
        <v>404</v>
      </c>
      <c r="M8" s="250" t="s">
        <v>405</v>
      </c>
      <c r="N8" s="251" t="s">
        <v>406</v>
      </c>
      <c r="O8" s="250" t="s">
        <v>407</v>
      </c>
      <c r="P8" s="252" t="s">
        <v>408</v>
      </c>
      <c r="Q8" s="18"/>
      <c r="R8" s="253"/>
      <c r="S8" s="253"/>
      <c r="T8" s="253"/>
      <c r="U8" s="254" t="s">
        <v>410</v>
      </c>
      <c r="V8" s="255" t="s">
        <v>411</v>
      </c>
      <c r="W8" s="256" t="s">
        <v>412</v>
      </c>
      <c r="X8" s="257"/>
      <c r="Y8" s="250" t="s">
        <v>413</v>
      </c>
      <c r="AA8" s="258" t="s">
        <v>414</v>
      </c>
      <c r="AB8" s="259"/>
    </row>
    <row r="9" spans="2:28" s="99" customFormat="1" ht="67.5">
      <c r="B9" s="260"/>
      <c r="H9" s="99" t="s">
        <v>415</v>
      </c>
      <c r="I9" s="261" t="s">
        <v>416</v>
      </c>
      <c r="J9" s="261"/>
      <c r="K9" s="261"/>
      <c r="L9" s="261" t="s">
        <v>417</v>
      </c>
      <c r="M9" s="261"/>
      <c r="N9" s="262" t="s">
        <v>418</v>
      </c>
      <c r="O9" s="261" t="s">
        <v>419</v>
      </c>
      <c r="P9" s="263" t="s">
        <v>420</v>
      </c>
      <c r="Q9" s="264"/>
      <c r="R9" s="264"/>
      <c r="S9" s="264"/>
      <c r="T9" s="264"/>
      <c r="U9" s="265" t="s">
        <v>421</v>
      </c>
      <c r="V9" s="266" t="s">
        <v>422</v>
      </c>
      <c r="W9" s="267" t="s">
        <v>420</v>
      </c>
      <c r="X9" s="268"/>
      <c r="Y9" s="269" t="s">
        <v>423</v>
      </c>
      <c r="AA9" s="270" t="s">
        <v>424</v>
      </c>
      <c r="AB9" s="271">
        <f>'[1]Parking Count and alternatives'!H4</f>
        <v>829</v>
      </c>
    </row>
    <row r="10" spans="2:28" ht="12.75">
      <c r="B10" s="154"/>
      <c r="D10" s="272"/>
      <c r="E10" s="273"/>
      <c r="F10" s="274"/>
      <c r="G10" s="275" t="s">
        <v>425</v>
      </c>
      <c r="H10" s="275" t="s">
        <v>426</v>
      </c>
      <c r="I10" s="275" t="s">
        <v>427</v>
      </c>
      <c r="J10" s="275"/>
      <c r="K10" s="275" t="s">
        <v>428</v>
      </c>
      <c r="L10" s="275" t="s">
        <v>52</v>
      </c>
      <c r="M10" s="275" t="s">
        <v>428</v>
      </c>
      <c r="N10" s="276" t="s">
        <v>52</v>
      </c>
      <c r="O10" s="275" t="s">
        <v>429</v>
      </c>
      <c r="P10" s="277"/>
      <c r="Q10" s="278"/>
      <c r="R10" s="278"/>
      <c r="S10" s="278"/>
      <c r="T10" s="278"/>
      <c r="U10" s="279"/>
      <c r="V10" s="280"/>
      <c r="W10" s="281"/>
      <c r="X10" s="282"/>
      <c r="Y10" s="275"/>
      <c r="Z10" s="283"/>
      <c r="AA10" s="284" t="s">
        <v>430</v>
      </c>
      <c r="AB10" s="285">
        <f>AB11/AB9</f>
        <v>20575.244120627263</v>
      </c>
    </row>
    <row r="11" spans="2:28" ht="12.75">
      <c r="B11" s="154"/>
      <c r="C11" s="154"/>
      <c r="D11" s="272"/>
      <c r="E11" s="286" t="s">
        <v>431</v>
      </c>
      <c r="F11" s="274"/>
      <c r="G11" s="283" t="s">
        <v>432</v>
      </c>
      <c r="H11" s="283"/>
      <c r="I11" s="283"/>
      <c r="J11" s="283"/>
      <c r="K11" s="283" t="s">
        <v>433</v>
      </c>
      <c r="L11" s="283" t="s">
        <v>433</v>
      </c>
      <c r="M11" s="283" t="s">
        <v>434</v>
      </c>
      <c r="N11" s="287" t="s">
        <v>434</v>
      </c>
      <c r="O11" s="283" t="s">
        <v>434</v>
      </c>
      <c r="P11" s="288"/>
      <c r="Q11" s="289"/>
      <c r="R11" s="289"/>
      <c r="S11" s="289"/>
      <c r="T11" s="289"/>
      <c r="U11" s="290"/>
      <c r="V11" s="291"/>
      <c r="W11" s="292"/>
      <c r="X11" s="293"/>
      <c r="Y11" s="283"/>
      <c r="Z11" s="283"/>
      <c r="AA11" s="284" t="s">
        <v>435</v>
      </c>
      <c r="AB11" s="294">
        <f>'[1]Construction cost alts'!C51+'[1]Construction cost alts'!C52</f>
        <v>17056877.376000002</v>
      </c>
    </row>
    <row r="12" spans="2:28" ht="12.75">
      <c r="B12" s="154"/>
      <c r="C12" s="295"/>
      <c r="D12" s="272"/>
      <c r="E12" s="286" t="s">
        <v>436</v>
      </c>
      <c r="F12" s="274"/>
      <c r="G12" s="283" t="s">
        <v>437</v>
      </c>
      <c r="H12" s="283"/>
      <c r="I12" s="283"/>
      <c r="J12" s="283"/>
      <c r="K12" s="283"/>
      <c r="L12" s="283"/>
      <c r="M12" s="283"/>
      <c r="N12" s="287"/>
      <c r="O12" s="283"/>
      <c r="P12" s="288"/>
      <c r="Q12" s="289"/>
      <c r="R12" s="289"/>
      <c r="S12" s="289"/>
      <c r="T12" s="289"/>
      <c r="U12" s="290"/>
      <c r="V12" s="291"/>
      <c r="W12" s="292"/>
      <c r="X12" s="293"/>
      <c r="Y12" s="283"/>
      <c r="Z12" s="283"/>
      <c r="AA12" s="284"/>
      <c r="AB12" s="296"/>
    </row>
    <row r="13" spans="2:28" ht="16.5" thickBot="1">
      <c r="B13" s="154"/>
      <c r="C13" s="153" t="s">
        <v>45</v>
      </c>
      <c r="D13" s="272"/>
      <c r="E13" s="286" t="s">
        <v>438</v>
      </c>
      <c r="F13" s="274"/>
      <c r="G13" s="297">
        <v>261000</v>
      </c>
      <c r="H13" s="297">
        <v>261000</v>
      </c>
      <c r="I13" s="297">
        <v>261000</v>
      </c>
      <c r="J13" s="297"/>
      <c r="K13" s="297">
        <v>276000</v>
      </c>
      <c r="L13" s="297">
        <v>288000</v>
      </c>
      <c r="M13" s="297">
        <v>276000</v>
      </c>
      <c r="N13" s="298">
        <v>288000</v>
      </c>
      <c r="O13" s="297">
        <v>261000</v>
      </c>
      <c r="P13" s="298">
        <v>288000</v>
      </c>
      <c r="Q13" s="299">
        <f>'[1]Cindy cost detail 9.1.2004'!F64</f>
        <v>284252</v>
      </c>
      <c r="R13" s="299"/>
      <c r="S13" s="299"/>
      <c r="T13" s="299"/>
      <c r="U13" s="300"/>
      <c r="V13" s="301">
        <f>Q13</f>
        <v>284252</v>
      </c>
      <c r="W13" s="302">
        <v>288000</v>
      </c>
      <c r="X13" s="303"/>
      <c r="Y13" s="297">
        <f>O13</f>
        <v>261000</v>
      </c>
      <c r="Z13" s="283"/>
      <c r="AA13" s="304" t="s">
        <v>439</v>
      </c>
      <c r="AB13" s="305">
        <f>AB11/Q97</f>
        <v>0.18827334008108126</v>
      </c>
    </row>
    <row r="14" spans="2:28" ht="15.75">
      <c r="B14" s="154"/>
      <c r="C14" s="153"/>
      <c r="D14" s="272"/>
      <c r="E14" s="286"/>
      <c r="F14" s="274"/>
      <c r="G14" s="297"/>
      <c r="H14" s="297"/>
      <c r="I14" s="297"/>
      <c r="J14" s="297"/>
      <c r="K14" s="297"/>
      <c r="L14" s="297"/>
      <c r="M14" s="297"/>
      <c r="N14" s="298"/>
      <c r="O14" s="297"/>
      <c r="P14" s="298" t="s">
        <v>440</v>
      </c>
      <c r="Q14" s="299">
        <f>Q13-Q15</f>
        <v>273242</v>
      </c>
      <c r="R14" s="299"/>
      <c r="S14" s="299"/>
      <c r="T14" s="299"/>
      <c r="U14" s="300"/>
      <c r="V14" s="301">
        <f>Q14</f>
        <v>273242</v>
      </c>
      <c r="W14" s="302"/>
      <c r="X14" s="303"/>
      <c r="Y14" s="297"/>
      <c r="Z14" s="283"/>
      <c r="AB14" s="306"/>
    </row>
    <row r="15" spans="2:28" ht="15.75">
      <c r="B15" s="154"/>
      <c r="C15" s="153"/>
      <c r="D15" s="272"/>
      <c r="E15" s="286"/>
      <c r="F15" s="274"/>
      <c r="G15" s="297"/>
      <c r="H15" s="297"/>
      <c r="I15" s="297"/>
      <c r="J15" s="297"/>
      <c r="K15" s="297"/>
      <c r="L15" s="297"/>
      <c r="M15" s="297"/>
      <c r="N15" s="298"/>
      <c r="O15" s="297"/>
      <c r="P15" s="298" t="s">
        <v>441</v>
      </c>
      <c r="Q15" s="299">
        <f>'[1]Space sheet'!G25</f>
        <v>11010</v>
      </c>
      <c r="R15" s="299"/>
      <c r="S15" s="299"/>
      <c r="T15" s="299"/>
      <c r="U15" s="300"/>
      <c r="V15" s="301">
        <f>Q15</f>
        <v>11010</v>
      </c>
      <c r="W15" s="302"/>
      <c r="X15" s="303"/>
      <c r="Y15" s="297"/>
      <c r="Z15" s="283"/>
      <c r="AB15" s="306"/>
    </row>
    <row r="16" spans="2:26" ht="11.25">
      <c r="B16" s="307"/>
      <c r="C16" s="308"/>
      <c r="D16" s="309" t="s">
        <v>442</v>
      </c>
      <c r="E16" s="286" t="s">
        <v>443</v>
      </c>
      <c r="F16" s="274"/>
      <c r="G16" s="297">
        <f>250+166</f>
        <v>416</v>
      </c>
      <c r="H16" s="297">
        <v>417</v>
      </c>
      <c r="K16" s="297" t="s">
        <v>444</v>
      </c>
      <c r="L16" s="297" t="s">
        <v>444</v>
      </c>
      <c r="M16" s="297" t="s">
        <v>445</v>
      </c>
      <c r="N16" s="310" t="s">
        <v>445</v>
      </c>
      <c r="O16" s="297" t="s">
        <v>445</v>
      </c>
      <c r="P16" s="311"/>
      <c r="Q16" s="312"/>
      <c r="R16" s="312"/>
      <c r="S16" s="312"/>
      <c r="T16" s="312"/>
      <c r="U16" s="313"/>
      <c r="V16" s="314"/>
      <c r="W16" s="315"/>
      <c r="X16" s="316"/>
      <c r="Y16" s="297"/>
      <c r="Z16" s="283"/>
    </row>
    <row r="17" spans="2:26" s="99" customFormat="1" ht="15.75">
      <c r="B17" s="317"/>
      <c r="C17" s="318" t="s">
        <v>446</v>
      </c>
      <c r="D17" s="319" t="s">
        <v>447</v>
      </c>
      <c r="E17" s="320"/>
      <c r="F17" s="321"/>
      <c r="G17" s="322">
        <f>G16+568</f>
        <v>984</v>
      </c>
      <c r="H17" s="322">
        <f>H16+568</f>
        <v>985</v>
      </c>
      <c r="I17" s="323" t="s">
        <v>448</v>
      </c>
      <c r="J17" s="323"/>
      <c r="K17" s="322">
        <f>745+80+151</f>
        <v>976</v>
      </c>
      <c r="L17" s="322">
        <f>745+80+151</f>
        <v>976</v>
      </c>
      <c r="M17" s="322">
        <f>56+740+170</f>
        <v>966</v>
      </c>
      <c r="N17" s="324">
        <f>56+740+170</f>
        <v>966</v>
      </c>
      <c r="O17" s="322">
        <f>56+740+170</f>
        <v>966</v>
      </c>
      <c r="P17" s="325">
        <f>N17+7000/350</f>
        <v>986</v>
      </c>
      <c r="Q17" s="326">
        <f>'[1]Parking Count and alternatives'!F7</f>
        <v>921</v>
      </c>
      <c r="R17" s="327"/>
      <c r="S17" s="327"/>
      <c r="T17" s="327"/>
      <c r="U17" s="328"/>
      <c r="V17" s="329"/>
      <c r="W17" s="330">
        <f>U17+7000/350</f>
        <v>20</v>
      </c>
      <c r="X17" s="331"/>
      <c r="Y17" s="322">
        <f>O17+7000/350</f>
        <v>986</v>
      </c>
      <c r="Z17" s="332"/>
    </row>
    <row r="18" spans="2:26" ht="17.25" customHeight="1">
      <c r="B18" s="333"/>
      <c r="C18" s="295"/>
      <c r="D18" s="334" t="s">
        <v>449</v>
      </c>
      <c r="E18" s="273"/>
      <c r="F18" s="274"/>
      <c r="G18" s="283"/>
      <c r="H18" s="283"/>
      <c r="I18" s="283"/>
      <c r="J18" s="283"/>
      <c r="K18" s="283"/>
      <c r="L18" s="283"/>
      <c r="M18" s="283"/>
      <c r="N18" s="287"/>
      <c r="O18" s="283"/>
      <c r="P18" s="288"/>
      <c r="Q18" s="289"/>
      <c r="R18" s="289"/>
      <c r="S18" s="289"/>
      <c r="T18" s="289"/>
      <c r="U18" s="290"/>
      <c r="V18" s="291"/>
      <c r="W18" s="292"/>
      <c r="X18" s="293"/>
      <c r="Y18" s="283"/>
      <c r="Z18" s="283"/>
    </row>
    <row r="19" spans="2:26" ht="11.25">
      <c r="B19" s="335" t="s">
        <v>450</v>
      </c>
      <c r="C19" s="336"/>
      <c r="D19" s="337"/>
      <c r="E19" s="336">
        <f>C19</f>
        <v>0</v>
      </c>
      <c r="F19" s="337"/>
      <c r="G19" s="338">
        <v>865000</v>
      </c>
      <c r="H19" s="338">
        <f>'[5]Option A'!F9</f>
        <v>865000</v>
      </c>
      <c r="I19" s="336">
        <f>'[5]Option B'!F9</f>
        <v>983000</v>
      </c>
      <c r="J19" s="336"/>
      <c r="K19" s="336">
        <f>I19</f>
        <v>983000</v>
      </c>
      <c r="L19" s="336">
        <f>K19</f>
        <v>983000</v>
      </c>
      <c r="M19" s="336">
        <f>L19</f>
        <v>983000</v>
      </c>
      <c r="N19" s="339">
        <f>M19</f>
        <v>983000</v>
      </c>
      <c r="O19" s="336">
        <f>N19</f>
        <v>983000</v>
      </c>
      <c r="P19" s="340">
        <f>M19</f>
        <v>983000</v>
      </c>
      <c r="Q19" s="341">
        <f>P19</f>
        <v>983000</v>
      </c>
      <c r="R19" s="342" t="s">
        <v>451</v>
      </c>
      <c r="S19" s="343"/>
      <c r="T19" s="343"/>
      <c r="U19" s="344"/>
      <c r="V19" s="345"/>
      <c r="W19" s="346">
        <f>P19</f>
        <v>983000</v>
      </c>
      <c r="X19" s="347"/>
      <c r="Y19" s="338">
        <f>N19</f>
        <v>983000</v>
      </c>
      <c r="Z19" s="275"/>
    </row>
    <row r="20" spans="2:26" ht="11.25">
      <c r="B20" s="348"/>
      <c r="C20" s="349"/>
      <c r="D20" s="272"/>
      <c r="E20" s="336"/>
      <c r="F20" s="272"/>
      <c r="G20" s="272"/>
      <c r="H20" s="272"/>
      <c r="I20" s="349"/>
      <c r="J20" s="349"/>
      <c r="K20" s="336"/>
      <c r="L20" s="336"/>
      <c r="M20" s="336"/>
      <c r="N20" s="339"/>
      <c r="O20" s="336"/>
      <c r="P20" s="340"/>
      <c r="Q20" s="341"/>
      <c r="R20" s="343"/>
      <c r="S20" s="341"/>
      <c r="T20" s="341"/>
      <c r="U20" s="344"/>
      <c r="V20" s="345"/>
      <c r="W20" s="346"/>
      <c r="X20" s="347"/>
      <c r="Y20" s="338"/>
      <c r="Z20" s="283"/>
    </row>
    <row r="21" spans="2:26" ht="11.25" hidden="1">
      <c r="B21" s="348" t="s">
        <v>452</v>
      </c>
      <c r="C21" s="349"/>
      <c r="D21" s="272"/>
      <c r="E21" s="336"/>
      <c r="F21" s="272"/>
      <c r="G21" s="272"/>
      <c r="H21" s="272"/>
      <c r="I21" s="349"/>
      <c r="J21" s="349"/>
      <c r="K21" s="336"/>
      <c r="L21" s="336"/>
      <c r="M21" s="336"/>
      <c r="N21" s="339"/>
      <c r="O21" s="336"/>
      <c r="P21" s="340"/>
      <c r="Q21" s="341"/>
      <c r="R21" s="343"/>
      <c r="S21" s="341"/>
      <c r="T21" s="341"/>
      <c r="U21" s="344"/>
      <c r="V21" s="345"/>
      <c r="W21" s="346"/>
      <c r="X21" s="347"/>
      <c r="Y21" s="338"/>
      <c r="Z21" s="283"/>
    </row>
    <row r="22" spans="2:26" ht="11.25" hidden="1">
      <c r="B22" s="348" t="s">
        <v>453</v>
      </c>
      <c r="C22" s="349"/>
      <c r="D22" s="350"/>
      <c r="E22" s="336"/>
      <c r="F22" s="350"/>
      <c r="G22" s="272"/>
      <c r="H22" s="272"/>
      <c r="I22" s="349"/>
      <c r="J22" s="349"/>
      <c r="K22" s="336"/>
      <c r="L22" s="336"/>
      <c r="M22" s="336"/>
      <c r="N22" s="339"/>
      <c r="O22" s="336"/>
      <c r="P22" s="340"/>
      <c r="Q22" s="341"/>
      <c r="R22" s="343"/>
      <c r="S22" s="341"/>
      <c r="T22" s="341"/>
      <c r="U22" s="344"/>
      <c r="V22" s="345"/>
      <c r="W22" s="346"/>
      <c r="X22" s="347"/>
      <c r="Y22" s="338"/>
      <c r="Z22" s="283"/>
    </row>
    <row r="23" spans="2:26" ht="11.25" hidden="1">
      <c r="B23" s="348" t="s">
        <v>454</v>
      </c>
      <c r="C23" s="349"/>
      <c r="D23" s="350"/>
      <c r="E23" s="336"/>
      <c r="F23" s="350"/>
      <c r="G23" s="272"/>
      <c r="H23" s="272"/>
      <c r="I23" s="349"/>
      <c r="J23" s="349"/>
      <c r="K23" s="336"/>
      <c r="L23" s="336"/>
      <c r="M23" s="336"/>
      <c r="N23" s="339"/>
      <c r="O23" s="336"/>
      <c r="P23" s="340"/>
      <c r="Q23" s="341"/>
      <c r="R23" s="343"/>
      <c r="S23" s="341"/>
      <c r="T23" s="341"/>
      <c r="U23" s="344"/>
      <c r="V23" s="345"/>
      <c r="W23" s="346"/>
      <c r="X23" s="347"/>
      <c r="Y23" s="338"/>
      <c r="Z23" s="283"/>
    </row>
    <row r="24" spans="2:26" ht="11.25" hidden="1">
      <c r="B24" s="348" t="s">
        <v>455</v>
      </c>
      <c r="C24" s="349"/>
      <c r="D24" s="350"/>
      <c r="E24" s="336"/>
      <c r="F24" s="350"/>
      <c r="G24" s="272"/>
      <c r="H24" s="272"/>
      <c r="I24" s="349"/>
      <c r="J24" s="349"/>
      <c r="K24" s="336"/>
      <c r="L24" s="336"/>
      <c r="M24" s="336"/>
      <c r="N24" s="339"/>
      <c r="O24" s="336"/>
      <c r="P24" s="340"/>
      <c r="Q24" s="341"/>
      <c r="R24" s="343"/>
      <c r="S24" s="341"/>
      <c r="T24" s="341"/>
      <c r="U24" s="344"/>
      <c r="V24" s="345"/>
      <c r="W24" s="346"/>
      <c r="X24" s="347"/>
      <c r="Y24" s="338"/>
      <c r="Z24" s="283"/>
    </row>
    <row r="25" spans="2:26" ht="11.25" hidden="1">
      <c r="B25" s="348" t="s">
        <v>456</v>
      </c>
      <c r="C25" s="349"/>
      <c r="D25" s="350"/>
      <c r="E25" s="336"/>
      <c r="F25" s="350"/>
      <c r="G25" s="272"/>
      <c r="H25" s="272"/>
      <c r="I25" s="349"/>
      <c r="J25" s="349"/>
      <c r="K25" s="336"/>
      <c r="L25" s="336"/>
      <c r="M25" s="336"/>
      <c r="N25" s="339"/>
      <c r="O25" s="336"/>
      <c r="P25" s="340"/>
      <c r="Q25" s="341"/>
      <c r="R25" s="343"/>
      <c r="S25" s="341"/>
      <c r="T25" s="341"/>
      <c r="U25" s="344"/>
      <c r="V25" s="345"/>
      <c r="W25" s="346"/>
      <c r="X25" s="347"/>
      <c r="Y25" s="338"/>
      <c r="Z25" s="283"/>
    </row>
    <row r="26" spans="2:26" ht="11.25" hidden="1">
      <c r="B26" s="348" t="s">
        <v>457</v>
      </c>
      <c r="C26" s="349"/>
      <c r="D26" s="350"/>
      <c r="E26" s="336"/>
      <c r="F26" s="350"/>
      <c r="G26" s="272"/>
      <c r="H26" s="272"/>
      <c r="I26" s="349"/>
      <c r="J26" s="349"/>
      <c r="K26" s="336"/>
      <c r="L26" s="336"/>
      <c r="M26" s="336"/>
      <c r="N26" s="339"/>
      <c r="O26" s="336"/>
      <c r="P26" s="340"/>
      <c r="Q26" s="351"/>
      <c r="R26" s="343"/>
      <c r="S26" s="341"/>
      <c r="T26" s="341"/>
      <c r="U26" s="344"/>
      <c r="V26" s="345"/>
      <c r="W26" s="346"/>
      <c r="X26" s="347"/>
      <c r="Y26" s="338"/>
      <c r="Z26" s="283"/>
    </row>
    <row r="27" spans="2:26" ht="11.25" hidden="1">
      <c r="B27" s="348" t="s">
        <v>458</v>
      </c>
      <c r="C27" s="349"/>
      <c r="D27" s="350" t="s">
        <v>95</v>
      </c>
      <c r="E27" s="336"/>
      <c r="F27" s="350"/>
      <c r="G27" s="272"/>
      <c r="H27" s="272"/>
      <c r="I27" s="349"/>
      <c r="J27" s="349"/>
      <c r="K27" s="336"/>
      <c r="L27" s="336"/>
      <c r="M27" s="336"/>
      <c r="N27" s="339"/>
      <c r="O27" s="336"/>
      <c r="P27" s="340"/>
      <c r="Q27" s="352" t="s">
        <v>459</v>
      </c>
      <c r="R27" s="342"/>
      <c r="S27" s="341"/>
      <c r="T27" s="341"/>
      <c r="U27" s="344"/>
      <c r="V27" s="345"/>
      <c r="W27" s="346"/>
      <c r="X27" s="347"/>
      <c r="Y27" s="338"/>
      <c r="Z27" s="283"/>
    </row>
    <row r="28" spans="2:26" ht="11.25" hidden="1">
      <c r="B28" s="348" t="s">
        <v>460</v>
      </c>
      <c r="C28" s="349"/>
      <c r="D28" s="350"/>
      <c r="E28" s="336"/>
      <c r="F28" s="350"/>
      <c r="G28" s="272"/>
      <c r="H28" s="272"/>
      <c r="I28" s="349"/>
      <c r="J28" s="349"/>
      <c r="K28" s="336"/>
      <c r="L28" s="336"/>
      <c r="M28" s="336"/>
      <c r="N28" s="339"/>
      <c r="O28" s="336"/>
      <c r="P28" s="340"/>
      <c r="Q28" s="353"/>
      <c r="R28" s="342"/>
      <c r="S28" s="341"/>
      <c r="T28" s="341"/>
      <c r="U28" s="344"/>
      <c r="V28" s="345"/>
      <c r="W28" s="346"/>
      <c r="X28" s="347"/>
      <c r="Y28" s="338"/>
      <c r="Z28" s="283"/>
    </row>
    <row r="29" spans="2:26" ht="11.25" hidden="1">
      <c r="B29" s="348" t="s">
        <v>461</v>
      </c>
      <c r="C29" s="349"/>
      <c r="D29" s="350" t="s">
        <v>95</v>
      </c>
      <c r="E29" s="336"/>
      <c r="F29" s="350"/>
      <c r="G29" s="272"/>
      <c r="H29" s="272"/>
      <c r="I29" s="349"/>
      <c r="J29" s="349"/>
      <c r="K29" s="336"/>
      <c r="L29" s="336"/>
      <c r="M29" s="336"/>
      <c r="N29" s="339"/>
      <c r="O29" s="336"/>
      <c r="P29" s="340"/>
      <c r="Q29" s="353"/>
      <c r="R29" s="342"/>
      <c r="S29" s="341"/>
      <c r="T29" s="341"/>
      <c r="U29" s="344"/>
      <c r="V29" s="345"/>
      <c r="W29" s="346"/>
      <c r="X29" s="347"/>
      <c r="Y29" s="338"/>
      <c r="Z29" s="283"/>
    </row>
    <row r="30" spans="2:26" ht="11.25">
      <c r="B30" s="335" t="s">
        <v>462</v>
      </c>
      <c r="C30" s="336"/>
      <c r="D30" s="337"/>
      <c r="E30" s="336">
        <f>SUM(C22:C29)</f>
        <v>0</v>
      </c>
      <c r="F30" s="337"/>
      <c r="G30" s="338">
        <v>1331000</v>
      </c>
      <c r="H30" s="338">
        <f>'[5]Option A'!F20</f>
        <v>1331000</v>
      </c>
      <c r="I30" s="336">
        <f>'[5]Option B'!F20</f>
        <v>1720000</v>
      </c>
      <c r="J30" s="336"/>
      <c r="K30" s="336">
        <f>I30</f>
        <v>1720000</v>
      </c>
      <c r="L30" s="336">
        <f>K30</f>
        <v>1720000</v>
      </c>
      <c r="M30" s="336">
        <f>L30</f>
        <v>1720000</v>
      </c>
      <c r="N30" s="339">
        <f>M30</f>
        <v>1720000</v>
      </c>
      <c r="O30" s="336">
        <f>N30</f>
        <v>1720000</v>
      </c>
      <c r="P30" s="340">
        <f>M30</f>
        <v>1720000</v>
      </c>
      <c r="Q30" s="353">
        <f>P30+186000</f>
        <v>1906000</v>
      </c>
      <c r="R30" s="354" t="s">
        <v>463</v>
      </c>
      <c r="S30" s="341"/>
      <c r="T30" s="341"/>
      <c r="U30" s="344"/>
      <c r="V30" s="345"/>
      <c r="W30" s="346">
        <f>P30</f>
        <v>1720000</v>
      </c>
      <c r="X30" s="347"/>
      <c r="Y30" s="338">
        <f>N30</f>
        <v>1720000</v>
      </c>
      <c r="Z30" s="275"/>
    </row>
    <row r="31" spans="2:26" ht="11.25">
      <c r="B31" s="348"/>
      <c r="C31" s="349"/>
      <c r="D31" s="272"/>
      <c r="E31" s="336"/>
      <c r="F31" s="272"/>
      <c r="G31" s="272"/>
      <c r="H31" s="272"/>
      <c r="I31" s="349"/>
      <c r="J31" s="349"/>
      <c r="K31" s="336"/>
      <c r="L31" s="336"/>
      <c r="M31" s="336"/>
      <c r="N31" s="339"/>
      <c r="O31" s="336"/>
      <c r="P31" s="340"/>
      <c r="Q31" s="353"/>
      <c r="R31" s="342"/>
      <c r="S31" s="341"/>
      <c r="T31" s="341"/>
      <c r="U31" s="344"/>
      <c r="V31" s="345"/>
      <c r="W31" s="346"/>
      <c r="X31" s="347"/>
      <c r="Y31" s="338"/>
      <c r="Z31" s="283"/>
    </row>
    <row r="32" spans="2:26" ht="11.25" hidden="1">
      <c r="B32" s="348" t="s">
        <v>464</v>
      </c>
      <c r="C32" s="349"/>
      <c r="D32" s="350"/>
      <c r="E32" s="336"/>
      <c r="F32" s="272"/>
      <c r="G32" s="272"/>
      <c r="H32" s="272"/>
      <c r="I32" s="349"/>
      <c r="J32" s="349"/>
      <c r="K32" s="336"/>
      <c r="L32" s="336"/>
      <c r="M32" s="336"/>
      <c r="N32" s="339"/>
      <c r="O32" s="336"/>
      <c r="P32" s="340"/>
      <c r="Q32" s="353"/>
      <c r="R32" s="342"/>
      <c r="S32" s="341"/>
      <c r="T32" s="341"/>
      <c r="U32" s="344"/>
      <c r="V32" s="345"/>
      <c r="W32" s="346"/>
      <c r="X32" s="347"/>
      <c r="Y32" s="338"/>
      <c r="Z32" s="283"/>
    </row>
    <row r="33" spans="2:26" ht="11.25" hidden="1">
      <c r="B33" s="348" t="s">
        <v>465</v>
      </c>
      <c r="C33" s="349"/>
      <c r="D33" s="350"/>
      <c r="E33" s="336"/>
      <c r="F33" s="272"/>
      <c r="G33" s="272"/>
      <c r="H33" s="272"/>
      <c r="I33" s="349"/>
      <c r="J33" s="349"/>
      <c r="K33" s="336"/>
      <c r="L33" s="336"/>
      <c r="M33" s="336"/>
      <c r="N33" s="339"/>
      <c r="O33" s="336"/>
      <c r="P33" s="340"/>
      <c r="Q33" s="353"/>
      <c r="R33" s="342"/>
      <c r="S33" s="341"/>
      <c r="T33" s="341"/>
      <c r="U33" s="344"/>
      <c r="V33" s="345"/>
      <c r="W33" s="346"/>
      <c r="X33" s="347"/>
      <c r="Y33" s="338"/>
      <c r="Z33" s="283"/>
    </row>
    <row r="34" spans="2:26" ht="11.25" hidden="1">
      <c r="B34" s="348" t="s">
        <v>466</v>
      </c>
      <c r="C34" s="349"/>
      <c r="D34" s="350"/>
      <c r="E34" s="336"/>
      <c r="F34" s="272"/>
      <c r="G34" s="272"/>
      <c r="H34" s="272"/>
      <c r="I34" s="349"/>
      <c r="J34" s="349"/>
      <c r="K34" s="336"/>
      <c r="L34" s="336"/>
      <c r="M34" s="336"/>
      <c r="N34" s="339"/>
      <c r="O34" s="336"/>
      <c r="P34" s="340"/>
      <c r="Q34" s="353"/>
      <c r="R34" s="342"/>
      <c r="S34" s="341"/>
      <c r="T34" s="341"/>
      <c r="U34" s="344"/>
      <c r="V34" s="345"/>
      <c r="W34" s="346"/>
      <c r="X34" s="347"/>
      <c r="Y34" s="338"/>
      <c r="Z34" s="283"/>
    </row>
    <row r="35" spans="2:26" ht="11.25" hidden="1">
      <c r="B35" s="348" t="s">
        <v>467</v>
      </c>
      <c r="C35" s="349"/>
      <c r="D35" s="350"/>
      <c r="E35" s="336"/>
      <c r="F35" s="272"/>
      <c r="G35" s="272"/>
      <c r="H35" s="272"/>
      <c r="I35" s="349"/>
      <c r="J35" s="349"/>
      <c r="K35" s="336"/>
      <c r="L35" s="336"/>
      <c r="M35" s="336"/>
      <c r="N35" s="339"/>
      <c r="O35" s="336"/>
      <c r="P35" s="340"/>
      <c r="Q35" s="353"/>
      <c r="R35" s="342"/>
      <c r="S35" s="341"/>
      <c r="T35" s="341"/>
      <c r="U35" s="344"/>
      <c r="V35" s="345"/>
      <c r="W35" s="346"/>
      <c r="X35" s="347"/>
      <c r="Y35" s="338"/>
      <c r="Z35" s="283"/>
    </row>
    <row r="36" spans="2:26" ht="11.25" hidden="1">
      <c r="B36" s="348" t="s">
        <v>468</v>
      </c>
      <c r="C36" s="349"/>
      <c r="D36" s="350" t="s">
        <v>95</v>
      </c>
      <c r="E36" s="336"/>
      <c r="F36" s="272"/>
      <c r="G36" s="272"/>
      <c r="H36" s="272"/>
      <c r="I36" s="349"/>
      <c r="J36" s="349"/>
      <c r="K36" s="336"/>
      <c r="L36" s="336"/>
      <c r="M36" s="336"/>
      <c r="N36" s="339"/>
      <c r="O36" s="336"/>
      <c r="P36" s="340"/>
      <c r="Q36" s="353"/>
      <c r="R36" s="342"/>
      <c r="S36" s="341"/>
      <c r="T36" s="341"/>
      <c r="U36" s="344"/>
      <c r="V36" s="345"/>
      <c r="W36" s="346"/>
      <c r="X36" s="347"/>
      <c r="Y36" s="338"/>
      <c r="Z36" s="283"/>
    </row>
    <row r="37" spans="2:26" ht="11.25" hidden="1">
      <c r="B37" s="348" t="s">
        <v>469</v>
      </c>
      <c r="C37" s="349"/>
      <c r="D37" s="350" t="s">
        <v>95</v>
      </c>
      <c r="E37" s="336"/>
      <c r="F37" s="272"/>
      <c r="G37" s="272"/>
      <c r="H37" s="272"/>
      <c r="I37" s="349"/>
      <c r="J37" s="349"/>
      <c r="K37" s="336"/>
      <c r="L37" s="336"/>
      <c r="M37" s="336"/>
      <c r="N37" s="339"/>
      <c r="O37" s="336"/>
      <c r="P37" s="340"/>
      <c r="Q37" s="353"/>
      <c r="R37" s="342"/>
      <c r="S37" s="341"/>
      <c r="T37" s="341"/>
      <c r="U37" s="344"/>
      <c r="V37" s="345"/>
      <c r="W37" s="346"/>
      <c r="X37" s="347"/>
      <c r="Y37" s="338"/>
      <c r="Z37" s="283"/>
    </row>
    <row r="38" spans="2:26" ht="11.25" hidden="1">
      <c r="B38" s="348" t="s">
        <v>470</v>
      </c>
      <c r="C38" s="349"/>
      <c r="D38" s="350"/>
      <c r="E38" s="336"/>
      <c r="F38" s="272"/>
      <c r="G38" s="272"/>
      <c r="H38" s="272"/>
      <c r="I38" s="349"/>
      <c r="J38" s="349"/>
      <c r="K38" s="336"/>
      <c r="L38" s="336"/>
      <c r="M38" s="336"/>
      <c r="N38" s="339"/>
      <c r="O38" s="336"/>
      <c r="P38" s="340"/>
      <c r="Q38" s="353"/>
      <c r="R38" s="342"/>
      <c r="S38" s="341"/>
      <c r="T38" s="341"/>
      <c r="U38" s="344"/>
      <c r="V38" s="345"/>
      <c r="W38" s="346"/>
      <c r="X38" s="347"/>
      <c r="Y38" s="338"/>
      <c r="Z38" s="283"/>
    </row>
    <row r="39" spans="2:26" ht="11.25" hidden="1">
      <c r="B39" s="348" t="s">
        <v>471</v>
      </c>
      <c r="C39" s="349"/>
      <c r="D39" s="350"/>
      <c r="E39" s="336"/>
      <c r="F39" s="272"/>
      <c r="G39" s="272"/>
      <c r="H39" s="272"/>
      <c r="I39" s="349"/>
      <c r="J39" s="349"/>
      <c r="K39" s="336"/>
      <c r="L39" s="336"/>
      <c r="M39" s="336"/>
      <c r="N39" s="339"/>
      <c r="O39" s="336"/>
      <c r="P39" s="340"/>
      <c r="Q39" s="353"/>
      <c r="R39" s="342"/>
      <c r="S39" s="341"/>
      <c r="T39" s="341"/>
      <c r="U39" s="344"/>
      <c r="V39" s="345"/>
      <c r="W39" s="346"/>
      <c r="X39" s="347"/>
      <c r="Y39" s="338"/>
      <c r="Z39" s="283"/>
    </row>
    <row r="40" spans="2:26" ht="11.25" hidden="1">
      <c r="B40" s="348" t="s">
        <v>472</v>
      </c>
      <c r="C40" s="349"/>
      <c r="D40" s="350"/>
      <c r="E40" s="336"/>
      <c r="F40" s="272"/>
      <c r="G40" s="272"/>
      <c r="H40" s="272"/>
      <c r="I40" s="349"/>
      <c r="J40" s="349"/>
      <c r="K40" s="336"/>
      <c r="L40" s="336"/>
      <c r="M40" s="336"/>
      <c r="N40" s="339"/>
      <c r="O40" s="336"/>
      <c r="P40" s="340"/>
      <c r="Q40" s="353"/>
      <c r="R40" s="342"/>
      <c r="S40" s="341"/>
      <c r="T40" s="341"/>
      <c r="U40" s="344"/>
      <c r="V40" s="345"/>
      <c r="W40" s="346"/>
      <c r="X40" s="347"/>
      <c r="Y40" s="338"/>
      <c r="Z40" s="283"/>
    </row>
    <row r="41" spans="2:26" ht="11.25" hidden="1">
      <c r="B41" s="348" t="s">
        <v>473</v>
      </c>
      <c r="C41" s="349"/>
      <c r="D41" s="350"/>
      <c r="E41" s="336"/>
      <c r="F41" s="272"/>
      <c r="G41" s="272"/>
      <c r="H41" s="272"/>
      <c r="I41" s="349"/>
      <c r="J41" s="349"/>
      <c r="K41" s="336"/>
      <c r="L41" s="336"/>
      <c r="M41" s="336"/>
      <c r="N41" s="339"/>
      <c r="O41" s="336"/>
      <c r="P41" s="340"/>
      <c r="Q41" s="353"/>
      <c r="R41" s="342"/>
      <c r="S41" s="341"/>
      <c r="T41" s="341"/>
      <c r="U41" s="344"/>
      <c r="V41" s="345"/>
      <c r="W41" s="346"/>
      <c r="X41" s="347"/>
      <c r="Y41" s="338"/>
      <c r="Z41" s="283"/>
    </row>
    <row r="42" spans="2:26" ht="11.25">
      <c r="B42" s="335" t="s">
        <v>474</v>
      </c>
      <c r="C42" s="336"/>
      <c r="D42" s="338"/>
      <c r="E42" s="336">
        <f>SUM(C33:C41)</f>
        <v>0</v>
      </c>
      <c r="F42" s="337"/>
      <c r="G42" s="338">
        <v>898000</v>
      </c>
      <c r="H42" s="338">
        <f>'[5]Option A'!F32</f>
        <v>898000</v>
      </c>
      <c r="I42" s="336">
        <f>'[5]Option B'!F32</f>
        <v>1197000</v>
      </c>
      <c r="J42" s="336">
        <f>'[1]Cindy cost detail 9.1.2004'!F13</f>
        <v>3103000</v>
      </c>
      <c r="K42" s="336">
        <f>I42</f>
        <v>1197000</v>
      </c>
      <c r="L42" s="336">
        <f>K42</f>
        <v>1197000</v>
      </c>
      <c r="M42" s="336">
        <f>L42</f>
        <v>1197000</v>
      </c>
      <c r="N42" s="339">
        <f>M42</f>
        <v>1197000</v>
      </c>
      <c r="O42" s="336">
        <f>N42</f>
        <v>1197000</v>
      </c>
      <c r="P42" s="340">
        <f>M42</f>
        <v>1197000</v>
      </c>
      <c r="Q42" s="353">
        <f>P42</f>
        <v>1197000</v>
      </c>
      <c r="R42" s="342">
        <f>Q42+Q30</f>
        <v>3103000</v>
      </c>
      <c r="S42" s="341">
        <f>'[1]Cindy cost detail 9.1.2004'!F13</f>
        <v>3103000</v>
      </c>
      <c r="T42" s="341">
        <f>S42-R42</f>
        <v>0</v>
      </c>
      <c r="U42" s="344"/>
      <c r="V42" s="345"/>
      <c r="W42" s="346">
        <f>P42</f>
        <v>1197000</v>
      </c>
      <c r="X42" s="347"/>
      <c r="Y42" s="338">
        <f>N42</f>
        <v>1197000</v>
      </c>
      <c r="Z42" s="275"/>
    </row>
    <row r="43" spans="2:26" ht="11.25">
      <c r="B43" s="348"/>
      <c r="C43" s="349"/>
      <c r="D43" s="272"/>
      <c r="E43" s="336"/>
      <c r="F43" s="272"/>
      <c r="G43" s="272"/>
      <c r="H43" s="272"/>
      <c r="I43" s="349"/>
      <c r="J43" s="349"/>
      <c r="K43" s="336"/>
      <c r="L43" s="336"/>
      <c r="M43" s="336"/>
      <c r="N43" s="339"/>
      <c r="O43" s="336"/>
      <c r="P43" s="340"/>
      <c r="Q43" s="353"/>
      <c r="R43" s="342"/>
      <c r="S43" s="341"/>
      <c r="T43" s="341"/>
      <c r="U43" s="344"/>
      <c r="V43" s="345"/>
      <c r="W43" s="346"/>
      <c r="X43" s="347"/>
      <c r="Y43" s="338"/>
      <c r="Z43" s="283"/>
    </row>
    <row r="44" spans="2:26" ht="11.25">
      <c r="B44" s="348" t="s">
        <v>475</v>
      </c>
      <c r="C44" s="349"/>
      <c r="D44" s="272"/>
      <c r="E44" s="336"/>
      <c r="F44" s="272"/>
      <c r="G44" s="272"/>
      <c r="H44" s="272"/>
      <c r="I44" s="349"/>
      <c r="J44" s="349"/>
      <c r="K44" s="336"/>
      <c r="L44" s="336"/>
      <c r="M44" s="336"/>
      <c r="N44" s="339"/>
      <c r="O44" s="336"/>
      <c r="P44" s="340"/>
      <c r="Q44" s="353"/>
      <c r="R44" s="342"/>
      <c r="S44" s="341"/>
      <c r="T44" s="341"/>
      <c r="U44" s="344"/>
      <c r="V44" s="345"/>
      <c r="W44" s="346"/>
      <c r="X44" s="347"/>
      <c r="Y44" s="338"/>
      <c r="Z44" s="283"/>
    </row>
    <row r="45" spans="2:26" ht="11.25">
      <c r="B45" s="348" t="s">
        <v>476</v>
      </c>
      <c r="C45" s="349"/>
      <c r="D45" s="350"/>
      <c r="E45" s="336">
        <v>785000</v>
      </c>
      <c r="F45" s="350"/>
      <c r="G45" s="355">
        <v>785000</v>
      </c>
      <c r="H45" s="356">
        <f>'[5]Option A'!D35</f>
        <v>785000</v>
      </c>
      <c r="I45" s="357">
        <f>'[5]Option B'!D35</f>
        <v>1000000</v>
      </c>
      <c r="J45" s="357"/>
      <c r="K45" s="349"/>
      <c r="L45" s="349"/>
      <c r="M45" s="349"/>
      <c r="N45" s="358"/>
      <c r="O45" s="349"/>
      <c r="P45" s="359"/>
      <c r="Q45" s="360">
        <v>0</v>
      </c>
      <c r="R45" s="361" t="s">
        <v>477</v>
      </c>
      <c r="S45" s="362"/>
      <c r="T45" s="362"/>
      <c r="U45" s="363"/>
      <c r="V45" s="364"/>
      <c r="W45" s="365"/>
      <c r="X45" s="366"/>
      <c r="Y45" s="272"/>
      <c r="Z45" s="283"/>
    </row>
    <row r="46" spans="2:26" ht="11.25">
      <c r="B46" s="348" t="s">
        <v>478</v>
      </c>
      <c r="C46" s="349"/>
      <c r="D46" s="350"/>
      <c r="E46" s="336">
        <v>2150000</v>
      </c>
      <c r="F46" s="350" t="s">
        <v>95</v>
      </c>
      <c r="G46" s="355">
        <v>2150000</v>
      </c>
      <c r="H46" s="356">
        <f>'[5]Option A'!D36</f>
        <v>2150000</v>
      </c>
      <c r="I46" s="357">
        <f>'[5]Option B'!D36</f>
        <v>2800000</v>
      </c>
      <c r="J46" s="357"/>
      <c r="K46" s="349"/>
      <c r="L46" s="349"/>
      <c r="M46" s="349"/>
      <c r="N46" s="358"/>
      <c r="O46" s="349"/>
      <c r="P46" s="359"/>
      <c r="Q46" s="360">
        <v>0</v>
      </c>
      <c r="R46" s="361" t="s">
        <v>477</v>
      </c>
      <c r="S46" s="362"/>
      <c r="T46" s="362"/>
      <c r="U46" s="363"/>
      <c r="V46" s="364"/>
      <c r="W46" s="365"/>
      <c r="X46" s="366"/>
      <c r="Y46" s="272"/>
      <c r="Z46" s="283"/>
    </row>
    <row r="47" spans="2:26" ht="11.25">
      <c r="B47" s="348" t="s">
        <v>479</v>
      </c>
      <c r="C47" s="349"/>
      <c r="D47" s="349"/>
      <c r="E47" s="336" t="s">
        <v>95</v>
      </c>
      <c r="F47" s="350"/>
      <c r="G47" s="355">
        <v>39150000</v>
      </c>
      <c r="H47" s="356">
        <f>'[5]Option A'!B37</f>
        <v>35200000</v>
      </c>
      <c r="I47" s="357">
        <f>'[5]Option B'!B37</f>
        <v>40954000</v>
      </c>
      <c r="J47" s="357"/>
      <c r="K47" s="349"/>
      <c r="L47" s="349"/>
      <c r="M47" s="349"/>
      <c r="N47" s="358"/>
      <c r="O47" s="349"/>
      <c r="P47" s="359"/>
      <c r="Q47" s="360">
        <f>'[1]Cindy cost detail 9.1.2004'!F16*1.088</f>
        <v>58833600.00000001</v>
      </c>
      <c r="R47" s="361"/>
      <c r="S47" s="362"/>
      <c r="T47" s="362"/>
      <c r="U47" s="363"/>
      <c r="V47" s="364"/>
      <c r="W47" s="365"/>
      <c r="X47" s="366"/>
      <c r="Y47" s="272"/>
      <c r="Z47" s="367"/>
    </row>
    <row r="48" spans="2:26" ht="11.25">
      <c r="B48" s="348" t="s">
        <v>480</v>
      </c>
      <c r="C48" s="349"/>
      <c r="D48" s="350"/>
      <c r="E48" s="336">
        <f>250000+720000</f>
        <v>970000</v>
      </c>
      <c r="F48" s="350" t="s">
        <v>95</v>
      </c>
      <c r="G48" s="355">
        <v>970000</v>
      </c>
      <c r="H48" s="356">
        <f>'[5]Option A'!D38</f>
        <v>970000</v>
      </c>
      <c r="I48" s="357">
        <f>'[5]Option B'!D38</f>
        <v>1260000</v>
      </c>
      <c r="J48" s="357"/>
      <c r="K48" s="349"/>
      <c r="L48" s="349"/>
      <c r="M48" s="349"/>
      <c r="N48" s="358"/>
      <c r="O48" s="349"/>
      <c r="P48" s="359"/>
      <c r="Q48" s="360">
        <f>'[1]Cindy cost detail 9.1.2004'!F17*1.088</f>
        <v>1044480.0000000001</v>
      </c>
      <c r="R48" s="361"/>
      <c r="S48" s="362"/>
      <c r="T48" s="362"/>
      <c r="U48" s="363"/>
      <c r="V48" s="364"/>
      <c r="W48" s="365"/>
      <c r="X48" s="366"/>
      <c r="Y48" s="272"/>
      <c r="Z48" s="283"/>
    </row>
    <row r="49" spans="2:26" ht="11.25">
      <c r="B49" s="348" t="s">
        <v>481</v>
      </c>
      <c r="C49" s="349"/>
      <c r="D49" s="349"/>
      <c r="E49" s="336" t="s">
        <v>95</v>
      </c>
      <c r="F49" s="350"/>
      <c r="G49" s="355">
        <v>391500</v>
      </c>
      <c r="H49" s="368">
        <f>'[5]Option A'!B39</f>
        <v>352000</v>
      </c>
      <c r="I49" s="369">
        <f>'[5]Option B'!B39</f>
        <v>409540</v>
      </c>
      <c r="J49" s="357"/>
      <c r="K49" s="349"/>
      <c r="L49" s="349"/>
      <c r="M49" s="349"/>
      <c r="N49" s="358"/>
      <c r="O49" s="349"/>
      <c r="P49" s="359"/>
      <c r="Q49" s="360">
        <v>0</v>
      </c>
      <c r="R49" s="361" t="s">
        <v>477</v>
      </c>
      <c r="S49" s="362"/>
      <c r="T49" s="362"/>
      <c r="U49" s="363"/>
      <c r="V49" s="364"/>
      <c r="W49" s="365"/>
      <c r="X49" s="366"/>
      <c r="Y49" s="272"/>
      <c r="Z49" s="283"/>
    </row>
    <row r="50" spans="2:26" ht="11.25">
      <c r="B50" s="335" t="s">
        <v>482</v>
      </c>
      <c r="C50" s="336"/>
      <c r="D50" s="338"/>
      <c r="E50" s="336"/>
      <c r="F50" s="337"/>
      <c r="G50" s="338">
        <f>SUM(G45:G49)</f>
        <v>43446500</v>
      </c>
      <c r="H50" s="338">
        <f>SUM(H45:H49)</f>
        <v>39457000</v>
      </c>
      <c r="I50" s="336">
        <f>SUM(I45:I49)</f>
        <v>46423540</v>
      </c>
      <c r="J50" s="336"/>
      <c r="K50" s="336">
        <v>50500000</v>
      </c>
      <c r="L50" s="336">
        <v>52600000</v>
      </c>
      <c r="M50" s="336">
        <v>51800000</v>
      </c>
      <c r="N50" s="339">
        <f>53800000+'[1]Revised Summary'!C1</f>
        <v>53800000</v>
      </c>
      <c r="O50" s="336">
        <v>49900000</v>
      </c>
      <c r="P50" s="340">
        <f>59900000</f>
        <v>59900000</v>
      </c>
      <c r="Q50" s="353">
        <f>SUM(Q45:Q49)</f>
        <v>59878080.00000001</v>
      </c>
      <c r="R50" s="342"/>
      <c r="S50" s="341">
        <f>'[1]Cindy cost detail 9.1.2004'!F24</f>
        <v>61719000</v>
      </c>
      <c r="T50" s="341">
        <f>S50-Q50</f>
        <v>1840919.9999999925</v>
      </c>
      <c r="U50" s="344"/>
      <c r="V50" s="345"/>
      <c r="W50" s="346">
        <f>N50-89500*1.088</f>
        <v>53702624</v>
      </c>
      <c r="X50" s="347"/>
      <c r="Y50" s="338">
        <f>O50-89500*1.088</f>
        <v>49802624</v>
      </c>
      <c r="Z50" s="283"/>
    </row>
    <row r="51" spans="2:26" ht="11.25">
      <c r="B51" s="348" t="s">
        <v>483</v>
      </c>
      <c r="C51" s="349"/>
      <c r="D51" s="272"/>
      <c r="E51" s="336"/>
      <c r="F51" s="272"/>
      <c r="G51" s="272"/>
      <c r="H51" s="272"/>
      <c r="I51" s="349"/>
      <c r="J51" s="349"/>
      <c r="K51" s="349"/>
      <c r="L51" s="349"/>
      <c r="M51" s="349"/>
      <c r="N51" s="358"/>
      <c r="O51" s="349"/>
      <c r="P51" s="359"/>
      <c r="Q51" s="360"/>
      <c r="R51" s="361"/>
      <c r="S51" s="362"/>
      <c r="T51" s="362"/>
      <c r="U51" s="363"/>
      <c r="V51" s="364"/>
      <c r="W51" s="365"/>
      <c r="X51" s="366"/>
      <c r="Y51" s="272"/>
      <c r="Z51" s="283"/>
    </row>
    <row r="52" spans="2:26" ht="11.25">
      <c r="B52" s="348" t="s">
        <v>484</v>
      </c>
      <c r="C52" s="349"/>
      <c r="D52" s="272"/>
      <c r="E52" s="336"/>
      <c r="F52" s="350"/>
      <c r="G52" s="272"/>
      <c r="H52" s="272"/>
      <c r="I52" s="349"/>
      <c r="J52" s="349"/>
      <c r="K52" s="349"/>
      <c r="L52" s="349"/>
      <c r="M52" s="349"/>
      <c r="N52" s="358"/>
      <c r="O52" s="349"/>
      <c r="P52" s="359"/>
      <c r="Q52" s="360"/>
      <c r="R52" s="361"/>
      <c r="S52" s="362"/>
      <c r="T52" s="362"/>
      <c r="U52" s="363"/>
      <c r="V52" s="364"/>
      <c r="W52" s="365"/>
      <c r="X52" s="366"/>
      <c r="Y52" s="272"/>
      <c r="Z52" s="283"/>
    </row>
    <row r="53" spans="2:26" ht="11.25">
      <c r="B53" s="348" t="s">
        <v>485</v>
      </c>
      <c r="C53" s="349"/>
      <c r="D53" s="350"/>
      <c r="E53" s="336">
        <v>481000</v>
      </c>
      <c r="F53" s="350"/>
      <c r="G53" s="272">
        <v>481000</v>
      </c>
      <c r="H53" s="272">
        <f>'[5]Option A'!D43</f>
        <v>481000</v>
      </c>
      <c r="I53" s="349">
        <f>'[5]Option B'!D43</f>
        <v>481000</v>
      </c>
      <c r="J53" s="349"/>
      <c r="K53" s="349">
        <f>I53</f>
        <v>481000</v>
      </c>
      <c r="L53" s="349">
        <f>K53</f>
        <v>481000</v>
      </c>
      <c r="M53" s="349">
        <f>L53</f>
        <v>481000</v>
      </c>
      <c r="N53" s="358">
        <f>M53</f>
        <v>481000</v>
      </c>
      <c r="O53" s="349">
        <f>N53</f>
        <v>481000</v>
      </c>
      <c r="P53" s="370">
        <f>$N53</f>
        <v>481000</v>
      </c>
      <c r="Q53" s="371">
        <f>'[1]Cindy cost detail 9.1.2004'!F30</f>
        <v>510000</v>
      </c>
      <c r="R53" s="361"/>
      <c r="S53" s="372"/>
      <c r="T53" s="372"/>
      <c r="U53" s="373"/>
      <c r="V53" s="374"/>
      <c r="W53" s="375">
        <f>$N53</f>
        <v>481000</v>
      </c>
      <c r="X53" s="376"/>
      <c r="Y53" s="349">
        <f>O53</f>
        <v>481000</v>
      </c>
      <c r="Z53" s="283"/>
    </row>
    <row r="54" spans="2:26" ht="11.25">
      <c r="B54" s="348" t="s">
        <v>476</v>
      </c>
      <c r="C54" s="349"/>
      <c r="D54" s="350"/>
      <c r="E54" s="336">
        <v>300000</v>
      </c>
      <c r="F54" s="350"/>
      <c r="G54" s="272">
        <v>300000</v>
      </c>
      <c r="H54" s="272">
        <f>'[5]Option A'!D44</f>
        <v>300000</v>
      </c>
      <c r="I54" s="349">
        <f>'[5]Option B'!D44</f>
        <v>300000</v>
      </c>
      <c r="J54" s="349"/>
      <c r="K54" s="349">
        <f>I54</f>
        <v>300000</v>
      </c>
      <c r="L54" s="349">
        <f aca="true" t="shared" si="0" ref="L54:O59">K54</f>
        <v>300000</v>
      </c>
      <c r="M54" s="349">
        <f t="shared" si="0"/>
        <v>300000</v>
      </c>
      <c r="N54" s="358">
        <f t="shared" si="0"/>
        <v>300000</v>
      </c>
      <c r="O54" s="349">
        <f t="shared" si="0"/>
        <v>300000</v>
      </c>
      <c r="P54" s="370">
        <f aca="true" t="shared" si="1" ref="P54:P59">$N54</f>
        <v>300000</v>
      </c>
      <c r="Q54" s="371">
        <f>I54</f>
        <v>300000</v>
      </c>
      <c r="R54" s="377" t="s">
        <v>486</v>
      </c>
      <c r="S54" s="372"/>
      <c r="T54" s="372"/>
      <c r="U54" s="373"/>
      <c r="V54" s="374"/>
      <c r="W54" s="375">
        <f aca="true" t="shared" si="2" ref="W54:W59">$N54</f>
        <v>300000</v>
      </c>
      <c r="X54" s="376"/>
      <c r="Y54" s="349">
        <f>O54</f>
        <v>300000</v>
      </c>
      <c r="Z54" s="283"/>
    </row>
    <row r="55" spans="2:26" ht="11.25">
      <c r="B55" s="348" t="s">
        <v>478</v>
      </c>
      <c r="C55" s="349"/>
      <c r="D55" s="350"/>
      <c r="E55" s="336">
        <v>260000</v>
      </c>
      <c r="F55" s="350"/>
      <c r="G55" s="272">
        <v>260000</v>
      </c>
      <c r="H55" s="272">
        <f>'[5]Option A'!D45</f>
        <v>260000</v>
      </c>
      <c r="I55" s="349">
        <f>'[5]Option B'!D45</f>
        <v>260000</v>
      </c>
      <c r="J55" s="349"/>
      <c r="K55" s="349">
        <f>I55</f>
        <v>260000</v>
      </c>
      <c r="L55" s="349">
        <f t="shared" si="0"/>
        <v>260000</v>
      </c>
      <c r="M55" s="349">
        <f t="shared" si="0"/>
        <v>260000</v>
      </c>
      <c r="N55" s="358">
        <f t="shared" si="0"/>
        <v>260000</v>
      </c>
      <c r="O55" s="349">
        <f t="shared" si="0"/>
        <v>260000</v>
      </c>
      <c r="P55" s="370">
        <f t="shared" si="1"/>
        <v>260000</v>
      </c>
      <c r="Q55" s="371">
        <f>I55</f>
        <v>260000</v>
      </c>
      <c r="R55" s="377" t="s">
        <v>486</v>
      </c>
      <c r="S55" s="372"/>
      <c r="T55" s="372"/>
      <c r="U55" s="373"/>
      <c r="V55" s="374"/>
      <c r="W55" s="375">
        <f t="shared" si="2"/>
        <v>260000</v>
      </c>
      <c r="X55" s="376"/>
      <c r="Y55" s="349">
        <f>O55</f>
        <v>260000</v>
      </c>
      <c r="Z55" s="283"/>
    </row>
    <row r="56" spans="2:26" s="383" customFormat="1" ht="11.25">
      <c r="B56" s="378" t="s">
        <v>487</v>
      </c>
      <c r="C56" s="379"/>
      <c r="D56" s="379"/>
      <c r="E56" s="273" t="s">
        <v>95</v>
      </c>
      <c r="F56" s="380"/>
      <c r="G56" s="274">
        <v>13050000</v>
      </c>
      <c r="H56" s="274">
        <f>'[5]Option A'!B46</f>
        <v>13050000</v>
      </c>
      <c r="I56" s="379">
        <f>'[5]Option B'!B46</f>
        <v>13050000</v>
      </c>
      <c r="J56" s="379"/>
      <c r="K56" s="381">
        <f>$I$56*K13/$I$13</f>
        <v>13800000</v>
      </c>
      <c r="L56" s="381">
        <f>$I$56*L13/$I$13</f>
        <v>14400000</v>
      </c>
      <c r="M56" s="381">
        <f>$I$56*M13/$I$13</f>
        <v>13800000</v>
      </c>
      <c r="N56" s="382">
        <f>$I$56*N13/$I$13</f>
        <v>14400000</v>
      </c>
      <c r="O56" s="381">
        <f>$I$56*O13/$I$13</f>
        <v>13050000</v>
      </c>
      <c r="P56" s="370">
        <f t="shared" si="1"/>
        <v>14400000</v>
      </c>
      <c r="Q56" s="371">
        <f>'[1]Cindy cost detail 9.1.2004'!F27</f>
        <v>14215000</v>
      </c>
      <c r="R56" s="361" t="s">
        <v>488</v>
      </c>
      <c r="S56" s="372"/>
      <c r="T56" s="372"/>
      <c r="U56" s="373"/>
      <c r="V56" s="374"/>
      <c r="W56" s="375">
        <f t="shared" si="2"/>
        <v>14400000</v>
      </c>
      <c r="X56" s="376"/>
      <c r="Y56" s="349">
        <f>O56</f>
        <v>13050000</v>
      </c>
      <c r="Z56" s="274"/>
    </row>
    <row r="57" spans="2:26" ht="11.25">
      <c r="B57" s="384" t="s">
        <v>489</v>
      </c>
      <c r="C57" s="349"/>
      <c r="D57" s="349"/>
      <c r="E57" s="336"/>
      <c r="F57" s="350"/>
      <c r="G57" s="272"/>
      <c r="H57" s="272"/>
      <c r="I57" s="349">
        <f>'[5]Option B'!B47</f>
        <v>2000000</v>
      </c>
      <c r="J57" s="349"/>
      <c r="K57" s="349">
        <f>I57</f>
        <v>2000000</v>
      </c>
      <c r="L57" s="349">
        <f t="shared" si="0"/>
        <v>2000000</v>
      </c>
      <c r="M57" s="349">
        <f t="shared" si="0"/>
        <v>2000000</v>
      </c>
      <c r="N57" s="358">
        <f t="shared" si="0"/>
        <v>2000000</v>
      </c>
      <c r="O57" s="349">
        <f t="shared" si="0"/>
        <v>2000000</v>
      </c>
      <c r="P57" s="370">
        <v>0</v>
      </c>
      <c r="Q57" s="371">
        <v>0</v>
      </c>
      <c r="R57" s="361" t="s">
        <v>490</v>
      </c>
      <c r="S57" s="372"/>
      <c r="T57" s="372"/>
      <c r="U57" s="385"/>
      <c r="V57" s="386"/>
      <c r="W57" s="375">
        <v>0</v>
      </c>
      <c r="X57" s="376"/>
      <c r="Y57" s="18">
        <v>0</v>
      </c>
      <c r="Z57" s="283"/>
    </row>
    <row r="58" spans="2:26" ht="11.25">
      <c r="B58" s="348" t="s">
        <v>480</v>
      </c>
      <c r="C58" s="349"/>
      <c r="D58" s="350"/>
      <c r="E58" s="336">
        <v>110000</v>
      </c>
      <c r="F58" s="350"/>
      <c r="G58" s="272">
        <v>110000</v>
      </c>
      <c r="H58" s="272">
        <f>'[5]Option A'!D47</f>
        <v>110000</v>
      </c>
      <c r="I58" s="349">
        <f>'[5]Option B'!D48</f>
        <v>110000</v>
      </c>
      <c r="J58" s="349"/>
      <c r="K58" s="349">
        <f>I58</f>
        <v>110000</v>
      </c>
      <c r="L58" s="349">
        <f t="shared" si="0"/>
        <v>110000</v>
      </c>
      <c r="M58" s="349">
        <f t="shared" si="0"/>
        <v>110000</v>
      </c>
      <c r="N58" s="358">
        <f t="shared" si="0"/>
        <v>110000</v>
      </c>
      <c r="O58" s="349">
        <f t="shared" si="0"/>
        <v>110000</v>
      </c>
      <c r="P58" s="370">
        <f t="shared" si="1"/>
        <v>110000</v>
      </c>
      <c r="Q58" s="371">
        <f>P58</f>
        <v>110000</v>
      </c>
      <c r="R58" s="361"/>
      <c r="S58" s="372"/>
      <c r="T58" s="372"/>
      <c r="U58" s="373"/>
      <c r="V58" s="374"/>
      <c r="W58" s="375">
        <f t="shared" si="2"/>
        <v>110000</v>
      </c>
      <c r="X58" s="376"/>
      <c r="Y58" s="349">
        <f>O58</f>
        <v>110000</v>
      </c>
      <c r="Z58" s="283"/>
    </row>
    <row r="59" spans="2:26" ht="11.25">
      <c r="B59" s="348" t="s">
        <v>481</v>
      </c>
      <c r="C59" s="349"/>
      <c r="D59" s="349"/>
      <c r="E59" s="336" t="s">
        <v>95</v>
      </c>
      <c r="F59" s="350"/>
      <c r="G59" s="272">
        <v>130500</v>
      </c>
      <c r="H59" s="272">
        <f>'[5]Option A'!B48</f>
        <v>130500</v>
      </c>
      <c r="I59" s="349">
        <f>'[5]Option B'!B49</f>
        <v>150500</v>
      </c>
      <c r="J59" s="349"/>
      <c r="K59" s="349">
        <f>I59</f>
        <v>150500</v>
      </c>
      <c r="L59" s="349">
        <f t="shared" si="0"/>
        <v>150500</v>
      </c>
      <c r="M59" s="349">
        <f t="shared" si="0"/>
        <v>150500</v>
      </c>
      <c r="N59" s="358">
        <f t="shared" si="0"/>
        <v>150500</v>
      </c>
      <c r="O59" s="349">
        <f t="shared" si="0"/>
        <v>150500</v>
      </c>
      <c r="P59" s="370">
        <f t="shared" si="1"/>
        <v>150500</v>
      </c>
      <c r="Q59" s="371">
        <f>I59</f>
        <v>150500</v>
      </c>
      <c r="R59" s="377" t="s">
        <v>486</v>
      </c>
      <c r="S59" s="372"/>
      <c r="T59" s="372"/>
      <c r="U59" s="373"/>
      <c r="V59" s="374"/>
      <c r="W59" s="375">
        <f t="shared" si="2"/>
        <v>150500</v>
      </c>
      <c r="X59" s="376"/>
      <c r="Y59" s="349">
        <f>O59</f>
        <v>150500</v>
      </c>
      <c r="Z59" s="283"/>
    </row>
    <row r="60" spans="2:26" ht="11.25">
      <c r="B60" s="335" t="s">
        <v>491</v>
      </c>
      <c r="C60" s="336"/>
      <c r="D60" s="338"/>
      <c r="E60" s="336" t="s">
        <v>95</v>
      </c>
      <c r="F60" s="337"/>
      <c r="G60" s="387">
        <f aca="true" t="shared" si="3" ref="G60:O60">SUM(G53:G59)</f>
        <v>14331500</v>
      </c>
      <c r="H60" s="387">
        <f t="shared" si="3"/>
        <v>14331500</v>
      </c>
      <c r="I60" s="308">
        <f t="shared" si="3"/>
        <v>16351500</v>
      </c>
      <c r="J60" s="308"/>
      <c r="K60" s="308">
        <f t="shared" si="3"/>
        <v>17101500</v>
      </c>
      <c r="L60" s="308">
        <f t="shared" si="3"/>
        <v>17701500</v>
      </c>
      <c r="M60" s="308">
        <f t="shared" si="3"/>
        <v>17101500</v>
      </c>
      <c r="N60" s="388">
        <f t="shared" si="3"/>
        <v>17701500</v>
      </c>
      <c r="O60" s="308">
        <f t="shared" si="3"/>
        <v>16351500</v>
      </c>
      <c r="P60" s="389">
        <f>SUM(P53:P59)</f>
        <v>15701500</v>
      </c>
      <c r="Q60" s="390">
        <f>SUM(Q53:Q59)</f>
        <v>15545500</v>
      </c>
      <c r="S60" s="391"/>
      <c r="T60" s="391"/>
      <c r="U60" s="392"/>
      <c r="V60" s="393"/>
      <c r="W60" s="394">
        <f>SUM(W53:W59)</f>
        <v>15701500</v>
      </c>
      <c r="X60" s="395"/>
      <c r="Y60" s="308">
        <f>SUM(Y53:Y59)</f>
        <v>14351500</v>
      </c>
      <c r="Z60" s="275"/>
    </row>
    <row r="61" spans="2:26" ht="11.25">
      <c r="B61" s="348"/>
      <c r="C61" s="349"/>
      <c r="D61" s="272"/>
      <c r="E61" s="336"/>
      <c r="F61" s="272"/>
      <c r="G61" s="396"/>
      <c r="H61" s="396"/>
      <c r="I61" s="295"/>
      <c r="J61" s="295"/>
      <c r="K61" s="349"/>
      <c r="L61" s="349"/>
      <c r="M61" s="349"/>
      <c r="N61" s="358"/>
      <c r="O61" s="349"/>
      <c r="P61" s="359"/>
      <c r="Q61" s="360"/>
      <c r="R61" s="361"/>
      <c r="S61" s="362"/>
      <c r="T61" s="362"/>
      <c r="U61" s="363"/>
      <c r="V61" s="364"/>
      <c r="W61" s="365"/>
      <c r="X61" s="366"/>
      <c r="Y61" s="272"/>
      <c r="Z61" s="283"/>
    </row>
    <row r="62" spans="2:26" ht="11.25" hidden="1">
      <c r="B62" s="348" t="s">
        <v>492</v>
      </c>
      <c r="C62" s="349"/>
      <c r="D62" s="272"/>
      <c r="E62" s="336"/>
      <c r="F62" s="272"/>
      <c r="G62" s="396"/>
      <c r="H62" s="396"/>
      <c r="I62" s="295"/>
      <c r="J62" s="295"/>
      <c r="K62" s="349"/>
      <c r="L62" s="349"/>
      <c r="M62" s="349"/>
      <c r="N62" s="358"/>
      <c r="O62" s="349"/>
      <c r="P62" s="359"/>
      <c r="Q62" s="360"/>
      <c r="R62" s="397"/>
      <c r="S62" s="362"/>
      <c r="T62" s="362"/>
      <c r="U62" s="363"/>
      <c r="V62" s="364"/>
      <c r="W62" s="365"/>
      <c r="X62" s="366"/>
      <c r="Y62" s="272"/>
      <c r="Z62" s="283"/>
    </row>
    <row r="63" spans="2:26" ht="11.25" hidden="1">
      <c r="B63" s="348" t="s">
        <v>493</v>
      </c>
      <c r="C63" s="349"/>
      <c r="D63" s="350"/>
      <c r="E63" s="336"/>
      <c r="F63" s="272"/>
      <c r="G63" s="396"/>
      <c r="H63" s="396"/>
      <c r="I63" s="295"/>
      <c r="J63" s="295"/>
      <c r="K63" s="349"/>
      <c r="L63" s="349"/>
      <c r="M63" s="349"/>
      <c r="N63" s="358"/>
      <c r="O63" s="349"/>
      <c r="P63" s="359"/>
      <c r="Q63" s="360"/>
      <c r="R63" s="397"/>
      <c r="S63" s="362"/>
      <c r="T63" s="362"/>
      <c r="U63" s="363"/>
      <c r="V63" s="364"/>
      <c r="W63" s="365"/>
      <c r="X63" s="366"/>
      <c r="Y63" s="272"/>
      <c r="Z63" s="283"/>
    </row>
    <row r="64" spans="2:26" ht="11.25" hidden="1">
      <c r="B64" s="348" t="s">
        <v>494</v>
      </c>
      <c r="C64" s="349"/>
      <c r="D64" s="350" t="s">
        <v>95</v>
      </c>
      <c r="E64" s="336"/>
      <c r="F64" s="272"/>
      <c r="G64" s="396"/>
      <c r="H64" s="396"/>
      <c r="I64" s="295"/>
      <c r="J64" s="295"/>
      <c r="K64" s="349"/>
      <c r="L64" s="349"/>
      <c r="M64" s="349"/>
      <c r="N64" s="358"/>
      <c r="O64" s="349"/>
      <c r="P64" s="359"/>
      <c r="Q64" s="360"/>
      <c r="R64" s="397"/>
      <c r="S64" s="362"/>
      <c r="T64" s="362"/>
      <c r="U64" s="363"/>
      <c r="V64" s="364"/>
      <c r="W64" s="365"/>
      <c r="X64" s="366"/>
      <c r="Y64" s="272"/>
      <c r="Z64" s="283"/>
    </row>
    <row r="65" spans="2:26" ht="11.25" hidden="1">
      <c r="B65" s="348" t="s">
        <v>495</v>
      </c>
      <c r="C65" s="349"/>
      <c r="D65" s="350"/>
      <c r="E65" s="336"/>
      <c r="F65" s="272"/>
      <c r="G65" s="396"/>
      <c r="H65" s="396"/>
      <c r="I65" s="295"/>
      <c r="J65" s="295"/>
      <c r="K65" s="349"/>
      <c r="L65" s="349"/>
      <c r="M65" s="349"/>
      <c r="N65" s="358"/>
      <c r="O65" s="349"/>
      <c r="P65" s="359"/>
      <c r="Q65" s="360"/>
      <c r="R65" s="397"/>
      <c r="S65" s="362"/>
      <c r="T65" s="362"/>
      <c r="U65" s="363"/>
      <c r="V65" s="364"/>
      <c r="W65" s="365"/>
      <c r="X65" s="366"/>
      <c r="Y65" s="272"/>
      <c r="Z65" s="283"/>
    </row>
    <row r="66" spans="2:26" ht="11.25" hidden="1">
      <c r="B66" s="348" t="s">
        <v>496</v>
      </c>
      <c r="C66" s="349"/>
      <c r="D66" s="350"/>
      <c r="E66" s="336"/>
      <c r="F66" s="272"/>
      <c r="G66" s="396"/>
      <c r="H66" s="396"/>
      <c r="I66" s="295"/>
      <c r="J66" s="295"/>
      <c r="K66" s="349"/>
      <c r="L66" s="349"/>
      <c r="M66" s="349"/>
      <c r="N66" s="358"/>
      <c r="O66" s="349"/>
      <c r="P66" s="359"/>
      <c r="Q66" s="360"/>
      <c r="R66" s="397"/>
      <c r="S66" s="362"/>
      <c r="T66" s="362"/>
      <c r="U66" s="363"/>
      <c r="V66" s="364"/>
      <c r="W66" s="365"/>
      <c r="X66" s="366"/>
      <c r="Y66" s="272"/>
      <c r="Z66" s="283"/>
    </row>
    <row r="67" spans="2:26" ht="11.25" hidden="1">
      <c r="B67" s="348" t="s">
        <v>497</v>
      </c>
      <c r="C67" s="349"/>
      <c r="D67" s="350"/>
      <c r="E67" s="336"/>
      <c r="F67" s="272"/>
      <c r="G67" s="396"/>
      <c r="H67" s="396"/>
      <c r="I67" s="295"/>
      <c r="J67" s="295"/>
      <c r="K67" s="349"/>
      <c r="L67" s="349"/>
      <c r="M67" s="349"/>
      <c r="N67" s="358"/>
      <c r="O67" s="349"/>
      <c r="P67" s="359"/>
      <c r="Q67" s="360"/>
      <c r="R67" s="397"/>
      <c r="S67" s="362"/>
      <c r="T67" s="362"/>
      <c r="U67" s="363"/>
      <c r="V67" s="364"/>
      <c r="W67" s="365"/>
      <c r="X67" s="366"/>
      <c r="Y67" s="272"/>
      <c r="Z67" s="283"/>
    </row>
    <row r="68" spans="2:26" ht="11.25" hidden="1">
      <c r="B68" s="348" t="s">
        <v>498</v>
      </c>
      <c r="C68" s="349"/>
      <c r="D68" s="350" t="s">
        <v>95</v>
      </c>
      <c r="E68" s="336"/>
      <c r="F68" s="272"/>
      <c r="G68" s="396"/>
      <c r="H68" s="396"/>
      <c r="I68" s="295"/>
      <c r="J68" s="295"/>
      <c r="K68" s="349"/>
      <c r="L68" s="349"/>
      <c r="M68" s="349"/>
      <c r="N68" s="358"/>
      <c r="O68" s="349"/>
      <c r="P68" s="359"/>
      <c r="Q68" s="360"/>
      <c r="R68" s="397"/>
      <c r="S68" s="362"/>
      <c r="T68" s="362"/>
      <c r="U68" s="363"/>
      <c r="V68" s="364"/>
      <c r="W68" s="365"/>
      <c r="X68" s="366"/>
      <c r="Y68" s="272"/>
      <c r="Z68" s="283"/>
    </row>
    <row r="69" spans="2:26" ht="11.25" hidden="1">
      <c r="B69" s="348" t="s">
        <v>499</v>
      </c>
      <c r="C69" s="349"/>
      <c r="D69" s="350" t="s">
        <v>95</v>
      </c>
      <c r="E69" s="336"/>
      <c r="F69" s="272"/>
      <c r="G69" s="396"/>
      <c r="H69" s="396"/>
      <c r="I69" s="295"/>
      <c r="J69" s="295"/>
      <c r="K69" s="349"/>
      <c r="L69" s="349"/>
      <c r="M69" s="349"/>
      <c r="N69" s="358"/>
      <c r="O69" s="349"/>
      <c r="P69" s="359"/>
      <c r="Q69" s="360"/>
      <c r="R69" s="397"/>
      <c r="S69" s="362"/>
      <c r="T69" s="362"/>
      <c r="U69" s="363"/>
      <c r="V69" s="364"/>
      <c r="W69" s="365"/>
      <c r="X69" s="366"/>
      <c r="Y69" s="272"/>
      <c r="Z69" s="283"/>
    </row>
    <row r="70" spans="2:26" ht="11.25">
      <c r="B70" s="335" t="s">
        <v>500</v>
      </c>
      <c r="C70" s="336"/>
      <c r="D70" s="338" t="s">
        <v>95</v>
      </c>
      <c r="E70" s="336">
        <f>SUM(C63:C69)</f>
        <v>0</v>
      </c>
      <c r="F70" s="337"/>
      <c r="G70" s="387">
        <v>989000</v>
      </c>
      <c r="H70" s="387">
        <f>'[5]Option A'!F59</f>
        <v>989000</v>
      </c>
      <c r="I70" s="308">
        <f>'[5]Option B'!F60</f>
        <v>1118000</v>
      </c>
      <c r="J70" s="308">
        <f>'[1]Cindy cost detail 9.1.2004'!F43</f>
        <v>903000</v>
      </c>
      <c r="K70" s="336">
        <f>I70</f>
        <v>1118000</v>
      </c>
      <c r="L70" s="336">
        <f>K70</f>
        <v>1118000</v>
      </c>
      <c r="M70" s="336">
        <f>L70</f>
        <v>1118000</v>
      </c>
      <c r="N70" s="339">
        <f>M70</f>
        <v>1118000</v>
      </c>
      <c r="O70" s="336">
        <f>N70</f>
        <v>1118000</v>
      </c>
      <c r="P70" s="398">
        <f>N70</f>
        <v>1118000</v>
      </c>
      <c r="Q70" s="390">
        <f>P70-215000</f>
        <v>903000</v>
      </c>
      <c r="R70" s="399" t="s">
        <v>501</v>
      </c>
      <c r="S70" s="400">
        <f>'[1]Cindy cost detail 9.1.2004'!G43</f>
        <v>903000</v>
      </c>
      <c r="T70" s="341">
        <f>S70-Q70</f>
        <v>0</v>
      </c>
      <c r="U70" s="392"/>
      <c r="V70" s="393"/>
      <c r="W70" s="401">
        <f>$N70</f>
        <v>1118000</v>
      </c>
      <c r="X70" s="402"/>
      <c r="Y70" s="336">
        <f>O70</f>
        <v>1118000</v>
      </c>
      <c r="Z70" s="275"/>
    </row>
    <row r="71" spans="2:26" ht="11.25">
      <c r="B71" s="348"/>
      <c r="C71" s="349"/>
      <c r="D71" s="272"/>
      <c r="E71" s="336"/>
      <c r="F71" s="32"/>
      <c r="G71" s="396"/>
      <c r="H71" s="396"/>
      <c r="I71" s="295"/>
      <c r="J71" s="295"/>
      <c r="K71" s="349"/>
      <c r="L71" s="349"/>
      <c r="M71" s="349"/>
      <c r="N71" s="358"/>
      <c r="O71" s="349"/>
      <c r="P71" s="359"/>
      <c r="Q71" s="360"/>
      <c r="R71" s="397"/>
      <c r="S71" s="362"/>
      <c r="T71" s="362"/>
      <c r="U71" s="363"/>
      <c r="V71" s="364"/>
      <c r="W71" s="365"/>
      <c r="X71" s="366"/>
      <c r="Y71" s="272"/>
      <c r="Z71" s="283"/>
    </row>
    <row r="72" spans="2:26" ht="11.25">
      <c r="B72" s="335" t="s">
        <v>502</v>
      </c>
      <c r="C72" s="336"/>
      <c r="D72" s="337"/>
      <c r="E72" s="336">
        <v>2440000</v>
      </c>
      <c r="F72" s="403"/>
      <c r="G72" s="387">
        <v>2440000</v>
      </c>
      <c r="H72" s="387">
        <f>'[5]Option A'!F61</f>
        <v>2440000</v>
      </c>
      <c r="I72" s="308">
        <f>'[5]Option B'!F62</f>
        <v>2740000</v>
      </c>
      <c r="J72" s="308">
        <f>'[1]Cindy cost detail 9.1.2004'!F48</f>
        <v>2740000</v>
      </c>
      <c r="K72" s="308">
        <f>I72</f>
        <v>2740000</v>
      </c>
      <c r="L72" s="308">
        <f>K72</f>
        <v>2740000</v>
      </c>
      <c r="M72" s="308">
        <f>L72</f>
        <v>2740000</v>
      </c>
      <c r="N72" s="388">
        <f>M72</f>
        <v>2740000</v>
      </c>
      <c r="O72" s="308">
        <f>N72</f>
        <v>2740000</v>
      </c>
      <c r="P72" s="398">
        <f>N72</f>
        <v>2740000</v>
      </c>
      <c r="Q72" s="390">
        <f>P72</f>
        <v>2740000</v>
      </c>
      <c r="R72" s="404"/>
      <c r="S72" s="400"/>
      <c r="T72" s="400">
        <f>T70+T42</f>
        <v>0</v>
      </c>
      <c r="U72" s="392"/>
      <c r="V72" s="393"/>
      <c r="W72" s="401">
        <f>$N72</f>
        <v>2740000</v>
      </c>
      <c r="X72" s="402"/>
      <c r="Y72" s="336">
        <f>O72</f>
        <v>2740000</v>
      </c>
      <c r="Z72" s="275"/>
    </row>
    <row r="73" spans="2:26" ht="11.25">
      <c r="B73" s="348"/>
      <c r="C73" s="349"/>
      <c r="D73" s="350"/>
      <c r="E73" s="336"/>
      <c r="F73" s="32"/>
      <c r="G73" s="396"/>
      <c r="H73" s="396"/>
      <c r="I73" s="295"/>
      <c r="J73" s="295"/>
      <c r="K73" s="349"/>
      <c r="L73" s="349"/>
      <c r="M73" s="349"/>
      <c r="N73" s="358"/>
      <c r="O73" s="349"/>
      <c r="P73" s="359"/>
      <c r="Q73" s="360"/>
      <c r="R73" s="397"/>
      <c r="S73" s="362"/>
      <c r="T73" s="362"/>
      <c r="U73" s="363"/>
      <c r="V73" s="364"/>
      <c r="W73" s="365"/>
      <c r="X73" s="366"/>
      <c r="Y73" s="272"/>
      <c r="Z73" s="283"/>
    </row>
    <row r="74" spans="2:26" ht="11.25">
      <c r="B74" s="335" t="s">
        <v>503</v>
      </c>
      <c r="C74" s="336"/>
      <c r="D74" s="337"/>
      <c r="E74" s="336">
        <v>1470000</v>
      </c>
      <c r="F74" s="403"/>
      <c r="G74" s="387">
        <v>1470000</v>
      </c>
      <c r="H74" s="387">
        <f>'[5]Option A'!F63</f>
        <v>1470000</v>
      </c>
      <c r="I74" s="308">
        <f>'[5]Option B'!F64</f>
        <v>1470000</v>
      </c>
      <c r="J74" s="308">
        <f>'[1]Cindy cost detail 9.1.2004'!F47</f>
        <v>1470000</v>
      </c>
      <c r="K74" s="308">
        <f>I74</f>
        <v>1470000</v>
      </c>
      <c r="L74" s="308">
        <f aca="true" t="shared" si="4" ref="L74:O76">K74</f>
        <v>1470000</v>
      </c>
      <c r="M74" s="308">
        <f t="shared" si="4"/>
        <v>1470000</v>
      </c>
      <c r="N74" s="388">
        <f t="shared" si="4"/>
        <v>1470000</v>
      </c>
      <c r="O74" s="308">
        <f t="shared" si="4"/>
        <v>1470000</v>
      </c>
      <c r="P74" s="398">
        <f>N74</f>
        <v>1470000</v>
      </c>
      <c r="Q74" s="390">
        <f>P74</f>
        <v>1470000</v>
      </c>
      <c r="R74" s="404"/>
      <c r="S74" s="400"/>
      <c r="T74" s="400"/>
      <c r="U74" s="392"/>
      <c r="V74" s="393"/>
      <c r="W74" s="401">
        <f>$N74</f>
        <v>1470000</v>
      </c>
      <c r="X74" s="402"/>
      <c r="Y74" s="336">
        <f>O74</f>
        <v>1470000</v>
      </c>
      <c r="Z74" s="275"/>
    </row>
    <row r="75" spans="2:26" ht="11.25">
      <c r="B75" s="348"/>
      <c r="C75" s="349"/>
      <c r="D75" s="272"/>
      <c r="E75" s="336"/>
      <c r="F75" s="272"/>
      <c r="G75" s="396"/>
      <c r="H75" s="396"/>
      <c r="I75" s="295"/>
      <c r="J75" s="295"/>
      <c r="K75" s="349"/>
      <c r="L75" s="349"/>
      <c r="M75" s="349"/>
      <c r="N75" s="358"/>
      <c r="O75" s="349"/>
      <c r="P75" s="359"/>
      <c r="Q75" s="360"/>
      <c r="R75" s="397"/>
      <c r="S75" s="362"/>
      <c r="T75" s="362"/>
      <c r="U75" s="363"/>
      <c r="V75" s="364"/>
      <c r="W75" s="365"/>
      <c r="X75" s="366"/>
      <c r="Y75" s="272"/>
      <c r="Z75" s="283"/>
    </row>
    <row r="76" spans="2:26" ht="11.25">
      <c r="B76" s="335" t="s">
        <v>504</v>
      </c>
      <c r="C76" s="336"/>
      <c r="D76" s="338"/>
      <c r="E76" s="336">
        <v>2200000</v>
      </c>
      <c r="F76" s="337"/>
      <c r="G76" s="387">
        <v>2200000</v>
      </c>
      <c r="H76" s="387">
        <f>'[5]Option A'!F65</f>
        <v>2200000</v>
      </c>
      <c r="I76" s="308">
        <f>'[5]Option B'!F66</f>
        <v>2700000</v>
      </c>
      <c r="J76" s="308">
        <f>'[1]Cindy cost detail 9.1.2004'!F55</f>
        <v>2700000</v>
      </c>
      <c r="K76" s="308">
        <f>I76</f>
        <v>2700000</v>
      </c>
      <c r="L76" s="308">
        <f t="shared" si="4"/>
        <v>2700000</v>
      </c>
      <c r="M76" s="308">
        <f t="shared" si="4"/>
        <v>2700000</v>
      </c>
      <c r="N76" s="388">
        <f t="shared" si="4"/>
        <v>2700000</v>
      </c>
      <c r="O76" s="308">
        <f t="shared" si="4"/>
        <v>2700000</v>
      </c>
      <c r="P76" s="398">
        <f>N76</f>
        <v>2700000</v>
      </c>
      <c r="Q76" s="390">
        <f>P76</f>
        <v>2700000</v>
      </c>
      <c r="R76" s="404"/>
      <c r="S76" s="400"/>
      <c r="T76" s="400"/>
      <c r="U76" s="392"/>
      <c r="V76" s="393"/>
      <c r="W76" s="401">
        <f>$N76</f>
        <v>2700000</v>
      </c>
      <c r="X76" s="402"/>
      <c r="Y76" s="336">
        <f>O76</f>
        <v>2700000</v>
      </c>
      <c r="Z76" s="275"/>
    </row>
    <row r="77" spans="2:26" ht="11.25">
      <c r="B77" s="335"/>
      <c r="C77" s="336"/>
      <c r="D77" s="338"/>
      <c r="E77" s="336"/>
      <c r="F77" s="337"/>
      <c r="G77" s="387"/>
      <c r="H77" s="387"/>
      <c r="I77" s="308"/>
      <c r="J77" s="308"/>
      <c r="K77" s="308"/>
      <c r="L77" s="308"/>
      <c r="M77" s="308"/>
      <c r="N77" s="388"/>
      <c r="O77" s="308"/>
      <c r="P77" s="398"/>
      <c r="Q77" s="390"/>
      <c r="R77" s="404"/>
      <c r="S77" s="400"/>
      <c r="T77" s="400"/>
      <c r="U77" s="392"/>
      <c r="V77" s="393"/>
      <c r="W77" s="401"/>
      <c r="X77" s="402"/>
      <c r="Y77" s="336"/>
      <c r="Z77" s="275"/>
    </row>
    <row r="78" spans="2:26" ht="12.75">
      <c r="B78" s="12" t="s">
        <v>505</v>
      </c>
      <c r="C78" s="349"/>
      <c r="D78" s="272"/>
      <c r="E78" s="336"/>
      <c r="F78" s="350"/>
      <c r="G78" s="396"/>
      <c r="H78" s="396"/>
      <c r="I78" s="295"/>
      <c r="J78" s="295"/>
      <c r="K78" s="349"/>
      <c r="L78" s="349">
        <f>(L13-'[1]Revised Summary'!$C$4)*'[1]Revised Summary'!$C$6</f>
        <v>968000</v>
      </c>
      <c r="M78" s="349">
        <f>(M13-'[1]Revised Summary'!$C$4)*'[1]Revised Summary'!$C$6</f>
        <v>704000</v>
      </c>
      <c r="N78" s="349">
        <f>(N13-'[1]Revised Summary'!$C$4)*'[1]Revised Summary'!$C$6</f>
        <v>968000</v>
      </c>
      <c r="O78" s="349">
        <f>(O13-'[1]Revised Summary'!$C$4)*'[1]Revised Summary'!$C$6</f>
        <v>374000</v>
      </c>
      <c r="P78" s="375">
        <f>(P13-'[1]Revised Summary'!$C$4)*'[1]Revised Summary'!$C$6</f>
        <v>968000</v>
      </c>
      <c r="Q78" s="375">
        <f>(Q13-'[1]Revised Summary'!$C$4)*'[1]Revised Summary'!$C$6</f>
        <v>885544</v>
      </c>
      <c r="R78" s="397"/>
      <c r="S78" s="372"/>
      <c r="T78" s="372"/>
      <c r="U78" s="363">
        <v>0</v>
      </c>
      <c r="V78" s="364" t="s">
        <v>506</v>
      </c>
      <c r="W78" s="375">
        <f>(W13-'[1]Revised Summary'!$C$4)*'[1]Revised Summary'!$C$6</f>
        <v>968000</v>
      </c>
      <c r="X78" s="405"/>
      <c r="Y78" s="375">
        <f>(Y13-'[1]Revised Summary'!$C$4)*'[1]Revised Summary'!$C$6</f>
        <v>374000</v>
      </c>
      <c r="Z78" s="283"/>
    </row>
    <row r="79" spans="2:26" ht="11.25">
      <c r="B79" s="348"/>
      <c r="C79" s="349"/>
      <c r="D79" s="272"/>
      <c r="E79" s="336"/>
      <c r="F79" s="350"/>
      <c r="G79" s="396"/>
      <c r="H79" s="396"/>
      <c r="I79" s="295"/>
      <c r="J79" s="295"/>
      <c r="K79" s="349"/>
      <c r="L79" s="349"/>
      <c r="M79" s="349"/>
      <c r="N79" s="358"/>
      <c r="O79" s="349"/>
      <c r="P79" s="359"/>
      <c r="Q79" s="360"/>
      <c r="R79" s="397"/>
      <c r="S79" s="362"/>
      <c r="T79" s="362"/>
      <c r="U79" s="363"/>
      <c r="V79" s="364"/>
      <c r="W79" s="365"/>
      <c r="X79" s="366"/>
      <c r="Y79" s="272"/>
      <c r="Z79" s="283"/>
    </row>
    <row r="80" spans="2:26" ht="11.25">
      <c r="B80" s="335" t="s">
        <v>507</v>
      </c>
      <c r="C80" s="349"/>
      <c r="D80" s="338"/>
      <c r="E80" s="336" t="s">
        <v>95</v>
      </c>
      <c r="F80" s="337"/>
      <c r="G80" s="387">
        <v>1500000</v>
      </c>
      <c r="H80" s="387">
        <f>'[5]Option A'!F68</f>
        <v>1500000</v>
      </c>
      <c r="I80" s="308">
        <f>'[5]Option B'!F69</f>
        <v>1500000</v>
      </c>
      <c r="J80" s="308"/>
      <c r="K80" s="308">
        <f>I80</f>
        <v>1500000</v>
      </c>
      <c r="L80" s="308">
        <f aca="true" t="shared" si="5" ref="L80:Q80">K80</f>
        <v>1500000</v>
      </c>
      <c r="M80" s="308">
        <f t="shared" si="5"/>
        <v>1500000</v>
      </c>
      <c r="N80" s="388">
        <f t="shared" si="5"/>
        <v>1500000</v>
      </c>
      <c r="O80" s="308">
        <f t="shared" si="5"/>
        <v>1500000</v>
      </c>
      <c r="P80" s="389">
        <f t="shared" si="5"/>
        <v>1500000</v>
      </c>
      <c r="Q80" s="390">
        <f t="shared" si="5"/>
        <v>1500000</v>
      </c>
      <c r="R80" s="406"/>
      <c r="S80" s="391"/>
      <c r="T80" s="391"/>
      <c r="U80" s="392"/>
      <c r="V80" s="393"/>
      <c r="W80" s="394">
        <f>P80</f>
        <v>1500000</v>
      </c>
      <c r="X80" s="395"/>
      <c r="Y80" s="308">
        <f>P80</f>
        <v>1500000</v>
      </c>
      <c r="Z80" s="275"/>
    </row>
    <row r="81" spans="2:26" ht="11.25">
      <c r="B81" s="348"/>
      <c r="C81" s="349"/>
      <c r="D81" s="272"/>
      <c r="E81" s="336"/>
      <c r="F81" s="350"/>
      <c r="G81" s="396"/>
      <c r="H81" s="396"/>
      <c r="I81" s="295"/>
      <c r="J81" s="295"/>
      <c r="K81" s="349"/>
      <c r="L81" s="349"/>
      <c r="M81" s="349"/>
      <c r="N81" s="358"/>
      <c r="O81" s="349"/>
      <c r="P81" s="370"/>
      <c r="Q81" s="371"/>
      <c r="R81" s="397"/>
      <c r="S81" s="372"/>
      <c r="T81" s="372"/>
      <c r="U81" s="373"/>
      <c r="V81" s="374"/>
      <c r="W81" s="375"/>
      <c r="X81" s="376"/>
      <c r="Y81" s="349"/>
      <c r="Z81" s="283"/>
    </row>
    <row r="82" spans="2:26" ht="11.25">
      <c r="B82" s="335" t="s">
        <v>508</v>
      </c>
      <c r="C82" s="336"/>
      <c r="D82" s="338"/>
      <c r="E82" s="336" t="s">
        <v>95</v>
      </c>
      <c r="F82" s="337"/>
      <c r="G82" s="387">
        <f>(SUM(G19:G80)-G50-G60)*1%</f>
        <v>694710</v>
      </c>
      <c r="H82" s="387">
        <f>(SUM(H19:H80)-H50-H60)*1%</f>
        <v>654815</v>
      </c>
      <c r="I82" s="308">
        <f>(SUM(I19:I80)-I50-I60)*1%</f>
        <v>762030.4</v>
      </c>
      <c r="J82" s="308"/>
      <c r="K82" s="308">
        <f aca="true" t="shared" si="6" ref="K82:Y82">(SUM(K19:K80)-K60)*1%</f>
        <v>810295</v>
      </c>
      <c r="L82" s="308">
        <f t="shared" si="6"/>
        <v>846975</v>
      </c>
      <c r="M82" s="308">
        <f t="shared" si="6"/>
        <v>830335</v>
      </c>
      <c r="N82" s="388">
        <f t="shared" si="6"/>
        <v>858975</v>
      </c>
      <c r="O82" s="308">
        <f t="shared" si="6"/>
        <v>800535</v>
      </c>
      <c r="P82" s="389">
        <f t="shared" si="6"/>
        <v>899975</v>
      </c>
      <c r="Q82" s="390">
        <f>(SUM(Q19:Q80)-Q50-Q60-Q78)*1%</f>
        <v>888225.8</v>
      </c>
      <c r="R82" s="407"/>
      <c r="S82" s="391">
        <v>881000</v>
      </c>
      <c r="T82" s="391">
        <f>S82-Q82</f>
        <v>-7225.800000000047</v>
      </c>
      <c r="U82" s="392"/>
      <c r="V82" s="393"/>
      <c r="W82" s="394">
        <f>(SUM(W19:W80)-W60)*1%</f>
        <v>838001.24</v>
      </c>
      <c r="X82" s="395"/>
      <c r="Y82" s="308">
        <f t="shared" si="6"/>
        <v>779561.24</v>
      </c>
      <c r="Z82" s="275"/>
    </row>
    <row r="83" spans="2:26" ht="11.25">
      <c r="B83" s="348"/>
      <c r="C83" s="349"/>
      <c r="D83" s="272"/>
      <c r="E83" s="336"/>
      <c r="F83" s="272"/>
      <c r="G83" s="272"/>
      <c r="H83" s="272"/>
      <c r="I83" s="349"/>
      <c r="J83" s="349"/>
      <c r="K83" s="349"/>
      <c r="L83" s="349"/>
      <c r="M83" s="349"/>
      <c r="N83" s="358"/>
      <c r="O83" s="349"/>
      <c r="P83" s="370"/>
      <c r="Q83" s="371"/>
      <c r="R83" s="397"/>
      <c r="S83" s="372"/>
      <c r="T83" s="372"/>
      <c r="U83" s="373"/>
      <c r="V83" s="374"/>
      <c r="W83" s="375"/>
      <c r="X83" s="376"/>
      <c r="Y83" s="349"/>
      <c r="Z83" s="283"/>
    </row>
    <row r="84" spans="2:26" ht="11.25">
      <c r="B84" s="348"/>
      <c r="C84" s="349"/>
      <c r="D84" s="272"/>
      <c r="E84" s="336"/>
      <c r="F84" s="272"/>
      <c r="G84" s="272"/>
      <c r="H84" s="272"/>
      <c r="I84" s="349"/>
      <c r="J84" s="349"/>
      <c r="K84" s="349"/>
      <c r="L84" s="349"/>
      <c r="M84" s="349"/>
      <c r="N84" s="358"/>
      <c r="O84" s="349"/>
      <c r="P84" s="370"/>
      <c r="Q84" s="371"/>
      <c r="R84" s="397"/>
      <c r="S84" s="372"/>
      <c r="T84" s="372"/>
      <c r="U84" s="373"/>
      <c r="V84" s="374"/>
      <c r="W84" s="375"/>
      <c r="X84" s="376"/>
      <c r="Y84" s="349"/>
      <c r="Z84" s="283"/>
    </row>
    <row r="85" spans="3:28" ht="11.25">
      <c r="C85" s="335" t="s">
        <v>509</v>
      </c>
      <c r="D85" s="338" t="s">
        <v>510</v>
      </c>
      <c r="E85" s="336">
        <f>SUM(E19:E76)</f>
        <v>11166000</v>
      </c>
      <c r="F85" s="337"/>
      <c r="G85" s="338">
        <f>SUM(G19:G82)-G50-G60</f>
        <v>70165710</v>
      </c>
      <c r="H85" s="338">
        <f>SUM(H19:H82)-H50-H60</f>
        <v>66136315</v>
      </c>
      <c r="I85" s="336">
        <f>SUM(I19:I82)-I50-I60</f>
        <v>76965070.4</v>
      </c>
      <c r="J85" s="336"/>
      <c r="K85" s="336">
        <f aca="true" t="shared" si="7" ref="K85:Y85">SUM(K19:K82)-K60</f>
        <v>81839795</v>
      </c>
      <c r="L85" s="336">
        <f t="shared" si="7"/>
        <v>85544475</v>
      </c>
      <c r="M85" s="336">
        <f t="shared" si="7"/>
        <v>83863835</v>
      </c>
      <c r="N85" s="339">
        <f t="shared" si="7"/>
        <v>86756475</v>
      </c>
      <c r="O85" s="336">
        <f t="shared" si="7"/>
        <v>80854035</v>
      </c>
      <c r="P85" s="398">
        <f t="shared" si="7"/>
        <v>90897475</v>
      </c>
      <c r="Q85" s="390">
        <f>SUM(Q19:Q82)-Q50-Q60</f>
        <v>90596349.80000001</v>
      </c>
      <c r="R85" s="404"/>
      <c r="S85" s="400"/>
      <c r="T85" s="400"/>
      <c r="U85" s="392">
        <f>Q85*AB13</f>
        <v>17056877.376000002</v>
      </c>
      <c r="V85" s="393">
        <f>Q85-U85</f>
        <v>73539472.42400001</v>
      </c>
      <c r="W85" s="401">
        <f>SUM(W19:W82)-W60</f>
        <v>84638125.24</v>
      </c>
      <c r="X85" s="402"/>
      <c r="Y85" s="336">
        <f t="shared" si="7"/>
        <v>78735685.24</v>
      </c>
      <c r="Z85" s="275"/>
      <c r="AB85" s="76"/>
    </row>
    <row r="86" spans="2:26" ht="11.25">
      <c r="B86" s="348"/>
      <c r="I86" s="349"/>
      <c r="J86" s="349"/>
      <c r="K86" s="28"/>
      <c r="L86" s="28"/>
      <c r="M86" s="28"/>
      <c r="N86" s="408"/>
      <c r="O86" s="28"/>
      <c r="P86" s="409"/>
      <c r="Q86" s="410"/>
      <c r="R86" s="407"/>
      <c r="U86" s="385"/>
      <c r="V86" s="386" t="s">
        <v>511</v>
      </c>
      <c r="X86" s="412"/>
      <c r="Z86" s="34"/>
    </row>
    <row r="87" spans="2:26" ht="11.25" hidden="1">
      <c r="B87" s="413" t="s">
        <v>512</v>
      </c>
      <c r="C87" s="414"/>
      <c r="D87" s="415"/>
      <c r="E87" s="416"/>
      <c r="F87" s="415"/>
      <c r="G87" s="417">
        <v>10000000</v>
      </c>
      <c r="H87" s="417">
        <v>10000000</v>
      </c>
      <c r="I87" s="416">
        <v>0</v>
      </c>
      <c r="J87" s="416"/>
      <c r="K87" s="416">
        <v>0</v>
      </c>
      <c r="L87" s="416">
        <v>0</v>
      </c>
      <c r="M87" s="416">
        <v>0</v>
      </c>
      <c r="N87" s="418">
        <v>0</v>
      </c>
      <c r="O87" s="416">
        <v>0</v>
      </c>
      <c r="P87" s="389">
        <f>O87</f>
        <v>0</v>
      </c>
      <c r="Q87" s="390"/>
      <c r="R87" s="406"/>
      <c r="S87" s="391"/>
      <c r="T87" s="391"/>
      <c r="U87" s="392"/>
      <c r="V87" s="393"/>
      <c r="W87" s="394">
        <f>V87</f>
        <v>0</v>
      </c>
      <c r="X87" s="395"/>
      <c r="Y87" s="308">
        <f>P87</f>
        <v>0</v>
      </c>
      <c r="Z87" s="419"/>
    </row>
    <row r="88" spans="2:26" ht="11.25" hidden="1">
      <c r="B88" s="413"/>
      <c r="C88" s="414"/>
      <c r="D88" s="415"/>
      <c r="E88" s="416"/>
      <c r="F88" s="415"/>
      <c r="G88" s="417"/>
      <c r="H88" s="417"/>
      <c r="I88" s="416"/>
      <c r="J88" s="416"/>
      <c r="K88" s="416"/>
      <c r="L88" s="416"/>
      <c r="M88" s="416"/>
      <c r="N88" s="418"/>
      <c r="O88" s="416"/>
      <c r="P88" s="420"/>
      <c r="Q88" s="421"/>
      <c r="R88" s="422"/>
      <c r="S88" s="423"/>
      <c r="T88" s="423"/>
      <c r="U88" s="424"/>
      <c r="V88" s="425"/>
      <c r="W88" s="426"/>
      <c r="X88" s="427"/>
      <c r="Y88" s="417"/>
      <c r="Z88" s="428"/>
    </row>
    <row r="89" spans="2:26" ht="11.25" hidden="1">
      <c r="B89" s="429"/>
      <c r="C89" s="414"/>
      <c r="D89" s="415"/>
      <c r="E89" s="416"/>
      <c r="F89" s="415"/>
      <c r="G89" s="417"/>
      <c r="H89" s="417"/>
      <c r="I89" s="416"/>
      <c r="J89" s="416"/>
      <c r="K89" s="416"/>
      <c r="L89" s="416"/>
      <c r="M89" s="416"/>
      <c r="N89" s="418"/>
      <c r="O89" s="416"/>
      <c r="P89" s="420"/>
      <c r="Q89" s="410"/>
      <c r="R89" s="430"/>
      <c r="S89" s="431"/>
      <c r="T89" s="431"/>
      <c r="U89" s="424"/>
      <c r="W89" s="426"/>
      <c r="X89" s="427"/>
      <c r="Y89" s="417"/>
      <c r="Z89" s="432"/>
    </row>
    <row r="90" spans="2:26" ht="11.25" hidden="1">
      <c r="B90" s="433"/>
      <c r="C90" s="434"/>
      <c r="D90" s="435"/>
      <c r="E90" s="434"/>
      <c r="F90" s="434"/>
      <c r="G90" s="434"/>
      <c r="H90" s="434"/>
      <c r="I90" s="436"/>
      <c r="J90" s="436"/>
      <c r="K90" s="435"/>
      <c r="L90" s="435"/>
      <c r="M90" s="435"/>
      <c r="N90" s="437"/>
      <c r="O90" s="435"/>
      <c r="P90" s="438"/>
      <c r="Q90" s="410"/>
      <c r="R90" s="439"/>
      <c r="S90" s="440"/>
      <c r="T90" s="440"/>
      <c r="U90" s="441"/>
      <c r="V90" s="442"/>
      <c r="W90" s="443"/>
      <c r="X90" s="444"/>
      <c r="Y90" s="434"/>
      <c r="Z90" s="445"/>
    </row>
    <row r="91" spans="2:26" ht="11.25" hidden="1">
      <c r="B91" s="433"/>
      <c r="C91" s="434"/>
      <c r="D91" s="435"/>
      <c r="E91" s="434"/>
      <c r="F91" s="434"/>
      <c r="G91" s="434"/>
      <c r="H91" s="417">
        <v>4200000</v>
      </c>
      <c r="I91" s="435"/>
      <c r="J91" s="435"/>
      <c r="K91" s="416"/>
      <c r="L91" s="416"/>
      <c r="M91" s="416"/>
      <c r="N91" s="418"/>
      <c r="O91" s="416"/>
      <c r="P91" s="420"/>
      <c r="Q91" s="410"/>
      <c r="R91" s="422"/>
      <c r="S91" s="423"/>
      <c r="T91" s="423"/>
      <c r="U91" s="424"/>
      <c r="V91" s="425"/>
      <c r="W91" s="426"/>
      <c r="X91" s="427"/>
      <c r="Y91" s="417"/>
      <c r="Z91" s="445"/>
    </row>
    <row r="92" spans="2:26" ht="11.25" hidden="1">
      <c r="B92" s="433"/>
      <c r="C92" s="434"/>
      <c r="D92" s="435"/>
      <c r="E92" s="434"/>
      <c r="F92" s="434"/>
      <c r="G92" s="434"/>
      <c r="H92" s="434"/>
      <c r="I92" s="435"/>
      <c r="J92" s="435"/>
      <c r="K92" s="416"/>
      <c r="L92" s="416"/>
      <c r="M92" s="416"/>
      <c r="N92" s="418"/>
      <c r="O92" s="416"/>
      <c r="P92" s="420"/>
      <c r="Q92" s="421"/>
      <c r="R92" s="422"/>
      <c r="S92" s="423"/>
      <c r="T92" s="423"/>
      <c r="U92" s="424"/>
      <c r="V92" s="425"/>
      <c r="W92" s="426"/>
      <c r="X92" s="427"/>
      <c r="Y92" s="417"/>
      <c r="Z92" s="446"/>
    </row>
    <row r="93" spans="2:26" ht="11.25" hidden="1">
      <c r="B93" s="433"/>
      <c r="C93" s="434"/>
      <c r="D93" s="435"/>
      <c r="E93" s="434"/>
      <c r="F93" s="434"/>
      <c r="G93" s="434"/>
      <c r="H93" s="434"/>
      <c r="I93" s="435"/>
      <c r="J93" s="435"/>
      <c r="K93" s="416"/>
      <c r="L93" s="416"/>
      <c r="M93" s="416"/>
      <c r="N93" s="418"/>
      <c r="O93" s="416"/>
      <c r="P93" s="420"/>
      <c r="Q93" s="421"/>
      <c r="R93" s="422"/>
      <c r="S93" s="423"/>
      <c r="T93" s="423"/>
      <c r="U93" s="424"/>
      <c r="V93" s="425"/>
      <c r="W93" s="426"/>
      <c r="X93" s="427"/>
      <c r="Y93" s="417"/>
      <c r="Z93" s="445"/>
    </row>
    <row r="94" spans="2:26" ht="11.25" hidden="1">
      <c r="B94" s="433"/>
      <c r="C94" s="434"/>
      <c r="D94" s="435"/>
      <c r="E94" s="434"/>
      <c r="F94" s="434"/>
      <c r="G94" s="434"/>
      <c r="H94" s="434"/>
      <c r="I94" s="435"/>
      <c r="J94" s="435"/>
      <c r="K94" s="416"/>
      <c r="L94" s="416"/>
      <c r="M94" s="416"/>
      <c r="N94" s="418"/>
      <c r="O94" s="416"/>
      <c r="P94" s="420"/>
      <c r="Q94" s="421"/>
      <c r="R94" s="422"/>
      <c r="S94" s="423"/>
      <c r="T94" s="423"/>
      <c r="U94" s="424"/>
      <c r="V94" s="425"/>
      <c r="W94" s="426"/>
      <c r="X94" s="427"/>
      <c r="Y94" s="417"/>
      <c r="Z94" s="445"/>
    </row>
    <row r="95" spans="2:26" ht="11.25" hidden="1">
      <c r="B95" s="433"/>
      <c r="C95" s="434"/>
      <c r="D95" s="435"/>
      <c r="E95" s="434"/>
      <c r="F95" s="434"/>
      <c r="G95" s="434"/>
      <c r="H95" s="434"/>
      <c r="I95" s="435"/>
      <c r="J95" s="435"/>
      <c r="K95" s="416"/>
      <c r="L95" s="416"/>
      <c r="M95" s="416"/>
      <c r="N95" s="418"/>
      <c r="O95" s="416"/>
      <c r="P95" s="420"/>
      <c r="Q95" s="421"/>
      <c r="R95" s="422"/>
      <c r="S95" s="423"/>
      <c r="T95" s="423"/>
      <c r="U95" s="424"/>
      <c r="V95" s="425"/>
      <c r="W95" s="426"/>
      <c r="X95" s="427"/>
      <c r="Y95" s="417"/>
      <c r="Z95" s="445"/>
    </row>
    <row r="96" spans="2:26" ht="11.25" hidden="1">
      <c r="B96" s="433"/>
      <c r="C96" s="434"/>
      <c r="D96" s="435"/>
      <c r="E96" s="434"/>
      <c r="F96" s="434"/>
      <c r="G96" s="434"/>
      <c r="H96" s="434"/>
      <c r="I96" s="435"/>
      <c r="J96" s="435"/>
      <c r="K96" s="435"/>
      <c r="L96" s="435"/>
      <c r="M96" s="435"/>
      <c r="N96" s="437"/>
      <c r="O96" s="435"/>
      <c r="P96" s="438"/>
      <c r="Q96" s="447"/>
      <c r="R96" s="439"/>
      <c r="S96" s="440"/>
      <c r="T96" s="440"/>
      <c r="U96" s="441"/>
      <c r="V96" s="442"/>
      <c r="W96" s="443"/>
      <c r="X96" s="444"/>
      <c r="Y96" s="434"/>
      <c r="Z96" s="432"/>
    </row>
    <row r="97" spans="2:26" ht="11.25" hidden="1">
      <c r="B97" s="413" t="s">
        <v>513</v>
      </c>
      <c r="C97" s="416"/>
      <c r="D97" s="417"/>
      <c r="E97" s="416"/>
      <c r="F97" s="417"/>
      <c r="G97" s="417">
        <f aca="true" t="shared" si="8" ref="G97:O97">G85+SUM(G86:G96)</f>
        <v>80165710</v>
      </c>
      <c r="H97" s="417">
        <f t="shared" si="8"/>
        <v>80336315</v>
      </c>
      <c r="I97" s="416">
        <f t="shared" si="8"/>
        <v>76965070.4</v>
      </c>
      <c r="J97" s="416"/>
      <c r="K97" s="416">
        <f t="shared" si="8"/>
        <v>81839795</v>
      </c>
      <c r="L97" s="416">
        <f t="shared" si="8"/>
        <v>85544475</v>
      </c>
      <c r="M97" s="416">
        <f t="shared" si="8"/>
        <v>83863835</v>
      </c>
      <c r="N97" s="418">
        <f t="shared" si="8"/>
        <v>86756475</v>
      </c>
      <c r="O97" s="416">
        <f t="shared" si="8"/>
        <v>80854035</v>
      </c>
      <c r="P97" s="448">
        <f>P85+SUM(P86:P96)</f>
        <v>90897475</v>
      </c>
      <c r="Q97" s="449">
        <f>Q85+SUM(Q86:Q96)</f>
        <v>90596349.80000001</v>
      </c>
      <c r="R97" s="422"/>
      <c r="S97" s="450"/>
      <c r="T97" s="450"/>
      <c r="U97" s="451">
        <f>U85+SUM(U86:U96)</f>
        <v>17056877.376000002</v>
      </c>
      <c r="V97" s="451">
        <f>V85+SUM(V86:V96)</f>
        <v>73539472.42400001</v>
      </c>
      <c r="W97" s="452">
        <f>W85+SUM(W86:W96)</f>
        <v>84638125.24</v>
      </c>
      <c r="X97" s="453"/>
      <c r="Y97" s="416">
        <f>Y85+SUM(Y86:Y96)</f>
        <v>78735685.24</v>
      </c>
      <c r="Z97" s="428"/>
    </row>
    <row r="98" spans="2:28" ht="11.25" hidden="1">
      <c r="B98" s="413"/>
      <c r="C98" s="416"/>
      <c r="D98" s="417"/>
      <c r="E98" s="416"/>
      <c r="F98" s="417"/>
      <c r="G98" s="417"/>
      <c r="H98" s="417"/>
      <c r="I98" s="416"/>
      <c r="J98" s="416"/>
      <c r="K98" s="416"/>
      <c r="L98" s="416"/>
      <c r="M98" s="416"/>
      <c r="N98" s="418"/>
      <c r="O98" s="416"/>
      <c r="P98" s="420"/>
      <c r="Q98" s="421"/>
      <c r="R98" s="422"/>
      <c r="S98" s="423"/>
      <c r="T98" s="423"/>
      <c r="U98" s="424"/>
      <c r="V98" s="425"/>
      <c r="W98" s="426"/>
      <c r="X98" s="427"/>
      <c r="Y98" s="417"/>
      <c r="Z98" s="428"/>
      <c r="AB98" s="96"/>
    </row>
    <row r="99" spans="3:26" ht="11.25">
      <c r="C99" s="454" t="s">
        <v>514</v>
      </c>
      <c r="D99" s="417"/>
      <c r="E99" s="416"/>
      <c r="F99" s="417"/>
      <c r="G99" s="417"/>
      <c r="H99" s="417"/>
      <c r="I99" s="416">
        <f>I97*(1+'[1]Proviso Summary'!$G$107)+'[1]Proviso Summary'!$L$95</f>
        <v>85926009.08400707</v>
      </c>
      <c r="J99" s="416"/>
      <c r="K99" s="416">
        <f>K97*(1+'[1]Proviso Summary'!$G$107)+'[1]Proviso Summary'!$L$95</f>
        <v>91184614.40741144</v>
      </c>
      <c r="L99" s="416">
        <f>L97*(1+'[1]Proviso Summary'!$G$107)+'[1]Proviso Summary'!$G$95+'[1]KC Summary worksheet'!$C$42</f>
        <v>95491035.03997594</v>
      </c>
      <c r="M99" s="416">
        <f>M97*(1+'[1]Proviso Summary'!$G$107)+'[1]Proviso Summary'!$G$95+'[1]KC Summary worksheet'!$C$42</f>
        <v>93678045.96347994</v>
      </c>
      <c r="N99" s="416">
        <f>N97*(1+'[1]Proviso Summary'!$G$107)+'[1]Proviso Summary'!$G$95+'[1]KC Summary worksheet'!$C$42</f>
        <v>96798479.08552594</v>
      </c>
      <c r="O99" s="416">
        <f>O97*(1+'[1]Proviso Summary'!$G$107)+'[1]Proviso Summary'!$G$95+'[1]KC Summary worksheet'!$C$42</f>
        <v>90431226.58369744</v>
      </c>
      <c r="P99" s="416">
        <f>P97*(1+'[1]Proviso Summary'!$G$107)+'[1]Proviso Summary'!$G$95+'[1]KC Summary worksheet'!$C$42</f>
        <v>101265579.57448843</v>
      </c>
      <c r="Q99" s="449">
        <f>Q97*(1+'[1]Proviso Summary'!$G$107)+'[1]Proviso Summary'!$G$95+'[1]KC Summary worksheet'!$C$42</f>
        <v>100940741.00212455</v>
      </c>
      <c r="R99" s="450"/>
      <c r="S99" s="450"/>
      <c r="T99" s="450">
        <f>U99+V99</f>
        <v>100940741.00212455</v>
      </c>
      <c r="U99" s="451">
        <f>U97*(1+'[1]Proviso Summary'!$G$107)</f>
        <v>18400093.037069067</v>
      </c>
      <c r="V99" s="393">
        <f>Q99-U99</f>
        <v>82540647.96505548</v>
      </c>
      <c r="W99" s="452">
        <f>W97*(1+'[1]Proviso Summary'!$G$107)+'[1]Proviso Summary'!$G$95+'[1]KC Summary worksheet'!$C$42</f>
        <v>94513310.95012636</v>
      </c>
      <c r="X99" s="453"/>
      <c r="Y99" s="416">
        <f>Y97*(1+'[1]Proviso Summary'!$G$107)+'[1]Proviso Summary'!$G$95+'[1]KC Summary worksheet'!$C$42</f>
        <v>88146058.44829787</v>
      </c>
      <c r="Z99" s="428"/>
    </row>
    <row r="100" spans="3:26" ht="11.25">
      <c r="C100" s="454"/>
      <c r="D100" s="417"/>
      <c r="E100" s="416"/>
      <c r="F100" s="417"/>
      <c r="G100" s="417"/>
      <c r="H100" s="417"/>
      <c r="I100" s="416"/>
      <c r="J100" s="416"/>
      <c r="K100" s="416"/>
      <c r="L100" s="416"/>
      <c r="M100" s="416"/>
      <c r="N100" s="418"/>
      <c r="O100" s="416"/>
      <c r="P100" s="448"/>
      <c r="Q100" s="449"/>
      <c r="R100" s="450"/>
      <c r="S100" s="450"/>
      <c r="T100" s="450"/>
      <c r="U100" s="455"/>
      <c r="V100" s="456"/>
      <c r="W100" s="452"/>
      <c r="X100" s="453"/>
      <c r="Y100" s="416"/>
      <c r="Z100" s="428"/>
    </row>
    <row r="101" spans="3:26" ht="11.25">
      <c r="C101" s="454" t="s">
        <v>515</v>
      </c>
      <c r="D101" s="417"/>
      <c r="E101" s="416"/>
      <c r="F101" s="417"/>
      <c r="G101" s="417"/>
      <c r="H101" s="417"/>
      <c r="I101" s="416">
        <f>I85/I13</f>
        <v>294.8853272030652</v>
      </c>
      <c r="J101" s="416"/>
      <c r="K101" s="416"/>
      <c r="L101" s="416">
        <f aca="true" t="shared" si="9" ref="L101:Y101">L85/L13</f>
        <v>297.02942708333336</v>
      </c>
      <c r="M101" s="416">
        <f t="shared" si="9"/>
        <v>303.85447463768116</v>
      </c>
      <c r="N101" s="416">
        <f t="shared" si="9"/>
        <v>301.2377604166667</v>
      </c>
      <c r="O101" s="416">
        <f t="shared" si="9"/>
        <v>309.78557471264367</v>
      </c>
      <c r="P101" s="416">
        <f t="shared" si="9"/>
        <v>315.6162326388889</v>
      </c>
      <c r="Q101" s="449">
        <f t="shared" si="9"/>
        <v>318.7184252001745</v>
      </c>
      <c r="R101" s="450"/>
      <c r="S101" s="450"/>
      <c r="T101" s="450"/>
      <c r="U101" s="455"/>
      <c r="V101" s="456">
        <f>V85/V13</f>
        <v>258.7122427423554</v>
      </c>
      <c r="W101" s="452">
        <f>W85/W13</f>
        <v>293.88237930555556</v>
      </c>
      <c r="X101" s="453"/>
      <c r="Y101" s="416">
        <f t="shared" si="9"/>
        <v>301.66929210727966</v>
      </c>
      <c r="Z101" s="428"/>
    </row>
    <row r="102" spans="3:26" ht="12" thickBot="1">
      <c r="C102" s="454" t="s">
        <v>516</v>
      </c>
      <c r="D102" s="417"/>
      <c r="E102" s="416"/>
      <c r="F102" s="417"/>
      <c r="G102" s="417"/>
      <c r="H102" s="417"/>
      <c r="I102" s="416">
        <f>I99/I13</f>
        <v>329.2184256092225</v>
      </c>
      <c r="J102" s="416"/>
      <c r="K102" s="416"/>
      <c r="L102" s="416">
        <f aca="true" t="shared" si="10" ref="L102:Y102">L99/L13</f>
        <v>331.56609388880537</v>
      </c>
      <c r="M102" s="416">
        <f t="shared" si="10"/>
        <v>339.4132100126085</v>
      </c>
      <c r="N102" s="416">
        <f t="shared" si="10"/>
        <v>336.1058301580762</v>
      </c>
      <c r="O102" s="416">
        <f t="shared" si="10"/>
        <v>346.4797953398369</v>
      </c>
      <c r="P102" s="416">
        <f t="shared" si="10"/>
        <v>351.6165957447515</v>
      </c>
      <c r="Q102" s="449">
        <f t="shared" si="10"/>
        <v>355.1100467265826</v>
      </c>
      <c r="R102" s="450"/>
      <c r="S102" s="450"/>
      <c r="T102" s="450"/>
      <c r="U102" s="457"/>
      <c r="V102" s="458">
        <f>V99/V13</f>
        <v>290.3784246550789</v>
      </c>
      <c r="W102" s="452">
        <f>W99/W13</f>
        <v>328.17121857682764</v>
      </c>
      <c r="X102" s="453"/>
      <c r="Y102" s="416">
        <f t="shared" si="10"/>
        <v>337.72436187087305</v>
      </c>
      <c r="Z102" s="428"/>
    </row>
    <row r="103" spans="3:26" ht="12" thickBot="1">
      <c r="C103" s="454"/>
      <c r="D103" s="417"/>
      <c r="E103" s="416"/>
      <c r="F103" s="417"/>
      <c r="G103" s="417"/>
      <c r="H103" s="417"/>
      <c r="I103" s="416"/>
      <c r="J103" s="416"/>
      <c r="K103" s="416"/>
      <c r="L103" s="416"/>
      <c r="M103" s="416"/>
      <c r="N103" s="418"/>
      <c r="O103" s="416"/>
      <c r="P103" s="418"/>
      <c r="Q103" s="459"/>
      <c r="R103" s="450"/>
      <c r="S103" s="450"/>
      <c r="T103" s="450"/>
      <c r="U103" s="418"/>
      <c r="V103" s="418"/>
      <c r="W103" s="452"/>
      <c r="X103" s="453"/>
      <c r="Y103" s="416"/>
      <c r="Z103" s="428"/>
    </row>
    <row r="104" spans="3:26" ht="11.25" hidden="1">
      <c r="C104" s="454"/>
      <c r="D104" s="417"/>
      <c r="E104" s="416"/>
      <c r="F104" s="417"/>
      <c r="G104" s="417"/>
      <c r="H104" s="417"/>
      <c r="I104" s="416"/>
      <c r="J104" s="416"/>
      <c r="K104" s="416"/>
      <c r="L104" s="416"/>
      <c r="M104" s="416"/>
      <c r="N104" s="418"/>
      <c r="O104" s="416"/>
      <c r="P104" s="418"/>
      <c r="Q104" s="450">
        <f>Q85-'[1]Cindy cost detail 9.1.2004'!G59</f>
        <v>0</v>
      </c>
      <c r="R104" s="450"/>
      <c r="S104" s="450"/>
      <c r="T104" s="450"/>
      <c r="U104" s="418"/>
      <c r="V104" s="418"/>
      <c r="W104" s="452"/>
      <c r="X104" s="453"/>
      <c r="Y104" s="416"/>
      <c r="Z104" s="428"/>
    </row>
    <row r="105" spans="2:26" ht="11.25" hidden="1">
      <c r="B105" s="460" t="s">
        <v>517</v>
      </c>
      <c r="C105" s="461"/>
      <c r="D105" s="462"/>
      <c r="E105" s="463"/>
      <c r="F105" s="462"/>
      <c r="G105" s="464">
        <v>2500000</v>
      </c>
      <c r="H105" s="464">
        <v>2900000</v>
      </c>
      <c r="I105" s="463">
        <f>H105</f>
        <v>2900000</v>
      </c>
      <c r="J105" s="463"/>
      <c r="K105" s="463"/>
      <c r="L105" s="463">
        <f>'[1]Preliminary Base Costs of issue'!B26+'[1]KC Summary worksheet'!C42</f>
        <v>3210000</v>
      </c>
      <c r="M105" s="416"/>
      <c r="N105" s="418">
        <f>L105</f>
        <v>3210000</v>
      </c>
      <c r="O105" s="416">
        <f>N105</f>
        <v>3210000</v>
      </c>
      <c r="P105" s="416">
        <f>O105</f>
        <v>3210000</v>
      </c>
      <c r="Q105" s="450"/>
      <c r="R105" s="450"/>
      <c r="S105" s="450"/>
      <c r="T105" s="450"/>
      <c r="U105" s="416">
        <f>P105</f>
        <v>3210000</v>
      </c>
      <c r="V105" s="416">
        <f>U105</f>
        <v>3210000</v>
      </c>
      <c r="W105" s="452">
        <f>V105</f>
        <v>3210000</v>
      </c>
      <c r="X105" s="453"/>
      <c r="Y105" s="416">
        <f>V105</f>
        <v>3210000</v>
      </c>
      <c r="Z105" s="428"/>
    </row>
    <row r="106" spans="3:26" ht="11.25" hidden="1">
      <c r="C106" s="454"/>
      <c r="D106" s="417"/>
      <c r="E106" s="416"/>
      <c r="F106" s="417"/>
      <c r="G106" s="417"/>
      <c r="H106" s="417"/>
      <c r="I106" s="416"/>
      <c r="J106" s="416"/>
      <c r="K106" s="416"/>
      <c r="L106" s="416"/>
      <c r="M106" s="416"/>
      <c r="N106" s="418"/>
      <c r="O106" s="416"/>
      <c r="P106" s="418"/>
      <c r="Q106" s="450"/>
      <c r="R106" s="450"/>
      <c r="S106" s="450"/>
      <c r="T106" s="450"/>
      <c r="U106" s="418"/>
      <c r="V106" s="418">
        <f>V99+U99</f>
        <v>100940741.00212455</v>
      </c>
      <c r="W106" s="452"/>
      <c r="X106" s="453"/>
      <c r="Y106" s="416"/>
      <c r="Z106" s="428"/>
    </row>
    <row r="107" spans="3:26" ht="11.25" hidden="1">
      <c r="C107" s="454"/>
      <c r="D107" s="417"/>
      <c r="E107" s="416"/>
      <c r="F107" s="417"/>
      <c r="G107" s="417"/>
      <c r="H107" s="417"/>
      <c r="I107" s="416"/>
      <c r="J107" s="416"/>
      <c r="K107" s="416"/>
      <c r="L107" s="416"/>
      <c r="M107" s="416"/>
      <c r="N107" s="418"/>
      <c r="O107" s="416"/>
      <c r="P107" s="418"/>
      <c r="Q107" s="450"/>
      <c r="R107" s="450"/>
      <c r="S107" s="450"/>
      <c r="T107" s="450"/>
      <c r="U107" s="418"/>
      <c r="V107" s="418"/>
      <c r="W107" s="452"/>
      <c r="X107" s="453"/>
      <c r="Y107" s="416"/>
      <c r="Z107" s="428"/>
    </row>
    <row r="108" spans="2:26" ht="11.25" hidden="1">
      <c r="B108" s="465"/>
      <c r="C108" s="414"/>
      <c r="D108" s="415"/>
      <c r="E108" s="416"/>
      <c r="F108" s="415"/>
      <c r="G108" s="415"/>
      <c r="H108" s="415"/>
      <c r="I108" s="414"/>
      <c r="J108" s="414"/>
      <c r="K108" s="414"/>
      <c r="L108" s="414"/>
      <c r="M108" s="414"/>
      <c r="N108" s="466"/>
      <c r="O108" s="414"/>
      <c r="P108" s="467"/>
      <c r="Q108" s="468"/>
      <c r="R108" s="468"/>
      <c r="S108" s="468"/>
      <c r="T108" s="468"/>
      <c r="U108" s="467"/>
      <c r="V108" s="467"/>
      <c r="W108" s="469"/>
      <c r="X108" s="470"/>
      <c r="Y108" s="415"/>
      <c r="Z108" s="355"/>
    </row>
    <row r="109" spans="13:26" ht="11.25" hidden="1">
      <c r="M109" s="463"/>
      <c r="N109" s="471"/>
      <c r="O109" s="463"/>
      <c r="P109" s="472" t="s">
        <v>518</v>
      </c>
      <c r="Q109" s="473"/>
      <c r="R109" s="473"/>
      <c r="S109" s="473"/>
      <c r="T109" s="473"/>
      <c r="U109" s="474"/>
      <c r="V109" s="474"/>
      <c r="W109" s="475"/>
      <c r="X109" s="476"/>
      <c r="Y109" s="474" t="s">
        <v>519</v>
      </c>
      <c r="Z109" s="477"/>
    </row>
    <row r="110" spans="2:26" ht="11.25" hidden="1">
      <c r="B110" s="460" t="s">
        <v>520</v>
      </c>
      <c r="C110" s="461"/>
      <c r="D110" s="462"/>
      <c r="E110" s="463"/>
      <c r="F110" s="462"/>
      <c r="G110" s="464" t="s">
        <v>95</v>
      </c>
      <c r="H110" s="464"/>
      <c r="I110" s="463"/>
      <c r="J110" s="463"/>
      <c r="K110" s="463"/>
      <c r="L110" s="463"/>
      <c r="M110" s="463"/>
      <c r="N110" s="471"/>
      <c r="O110" s="463"/>
      <c r="P110" s="478">
        <f>P99-Y99-('[1]Revised Summary'!C5-'[1]KC format'!P111)*18</f>
        <v>12880985.126190558</v>
      </c>
      <c r="Q110" s="479"/>
      <c r="R110" s="479"/>
      <c r="S110" s="479"/>
      <c r="T110" s="479"/>
      <c r="U110" s="480"/>
      <c r="V110" s="480"/>
      <c r="W110" s="481"/>
      <c r="X110" s="482"/>
      <c r="Y110" s="483"/>
      <c r="Z110" s="484"/>
    </row>
    <row r="111" spans="2:26" ht="11.25" hidden="1">
      <c r="B111" s="460" t="s">
        <v>521</v>
      </c>
      <c r="C111" s="461"/>
      <c r="D111" s="462"/>
      <c r="E111" s="463"/>
      <c r="F111" s="462"/>
      <c r="G111" s="464">
        <v>6312986.532003373</v>
      </c>
      <c r="H111" s="464">
        <f>(H97)/($G$97)*$G$111</f>
        <v>6326421.541401936</v>
      </c>
      <c r="I111" s="463">
        <f>(I97)/($G$97)*$G$111</f>
        <v>6060938.684007059</v>
      </c>
      <c r="J111" s="463"/>
      <c r="K111" s="463"/>
      <c r="L111" s="463"/>
      <c r="M111" s="463"/>
      <c r="N111" s="471">
        <f>N85-P85</f>
        <v>-4141000</v>
      </c>
      <c r="O111" s="463"/>
      <c r="P111" s="485">
        <f>P13-I13</f>
        <v>27000</v>
      </c>
      <c r="Q111" s="486"/>
      <c r="R111" s="486"/>
      <c r="S111" s="486"/>
      <c r="T111" s="486"/>
      <c r="U111" s="487"/>
      <c r="V111" s="487"/>
      <c r="W111" s="488"/>
      <c r="X111" s="489"/>
      <c r="Y111" s="480"/>
      <c r="Z111" s="484"/>
    </row>
    <row r="112" spans="2:26" ht="12" hidden="1" thickBot="1">
      <c r="B112" s="460"/>
      <c r="C112" s="461"/>
      <c r="D112" s="462"/>
      <c r="E112" s="463"/>
      <c r="F112" s="462"/>
      <c r="G112" s="464"/>
      <c r="H112" s="464"/>
      <c r="I112" s="463"/>
      <c r="J112" s="463"/>
      <c r="K112" s="463"/>
      <c r="L112" s="463"/>
      <c r="M112" s="463"/>
      <c r="N112" s="471"/>
      <c r="O112" s="463"/>
      <c r="P112" s="490">
        <f>P110/P111</f>
        <v>477.0735231922429</v>
      </c>
      <c r="Q112" s="491"/>
      <c r="R112" s="491"/>
      <c r="S112" s="491"/>
      <c r="T112" s="491"/>
      <c r="U112" s="492"/>
      <c r="V112" s="492"/>
      <c r="W112" s="493"/>
      <c r="X112" s="494"/>
      <c r="Y112" s="492">
        <f>Y99/Y13</f>
        <v>337.72436187087305</v>
      </c>
      <c r="Z112" s="495">
        <f>P112/Y112</f>
        <v>1.4126121093231916</v>
      </c>
    </row>
    <row r="113" spans="2:26" ht="11.25" hidden="1">
      <c r="B113" s="496"/>
      <c r="C113" s="414"/>
      <c r="D113" s="415"/>
      <c r="E113" s="416"/>
      <c r="F113" s="415"/>
      <c r="G113" s="275" t="s">
        <v>425</v>
      </c>
      <c r="H113" s="275" t="s">
        <v>426</v>
      </c>
      <c r="I113" s="497" t="s">
        <v>427</v>
      </c>
      <c r="J113" s="497"/>
      <c r="K113" s="497"/>
      <c r="L113" s="497"/>
      <c r="M113" s="497"/>
      <c r="N113" s="498"/>
      <c r="O113" s="497"/>
      <c r="P113" s="277"/>
      <c r="Q113" s="278"/>
      <c r="R113" s="278"/>
      <c r="S113" s="278"/>
      <c r="T113" s="278"/>
      <c r="U113" s="277"/>
      <c r="V113" s="277"/>
      <c r="W113" s="346"/>
      <c r="X113" s="347"/>
      <c r="Y113" s="275"/>
      <c r="Z113" s="428"/>
    </row>
    <row r="114" spans="2:26" ht="12.75" hidden="1">
      <c r="B114" s="496"/>
      <c r="C114" s="414"/>
      <c r="D114" s="499" t="s">
        <v>522</v>
      </c>
      <c r="E114" s="500"/>
      <c r="F114" s="501"/>
      <c r="G114" s="502">
        <f>G97+G105+G111</f>
        <v>88978696.53200337</v>
      </c>
      <c r="H114" s="502">
        <f>H97+H105+H111</f>
        <v>89562736.54140194</v>
      </c>
      <c r="I114" s="500">
        <f>I97+I105+I111</f>
        <v>85926009.08400707</v>
      </c>
      <c r="J114" s="503"/>
      <c r="K114" s="503"/>
      <c r="L114" s="503"/>
      <c r="M114" s="503"/>
      <c r="N114" s="504"/>
      <c r="O114" s="503"/>
      <c r="P114" s="505"/>
      <c r="Q114" s="425">
        <f>'[1]Cindy cost detail 9.1.2004'!G59</f>
        <v>90596349.8</v>
      </c>
      <c r="R114" s="506"/>
      <c r="S114" s="506"/>
      <c r="T114" s="506"/>
      <c r="U114" s="507"/>
      <c r="V114" s="505"/>
      <c r="W114" s="508"/>
      <c r="X114" s="509"/>
      <c r="Y114" s="510"/>
      <c r="Z114" s="428"/>
    </row>
    <row r="115" spans="2:26" ht="12.75" hidden="1">
      <c r="B115" s="496"/>
      <c r="C115" s="414"/>
      <c r="D115" s="511"/>
      <c r="E115" s="503"/>
      <c r="F115" s="512"/>
      <c r="G115" s="510"/>
      <c r="H115" s="510"/>
      <c r="I115" s="503"/>
      <c r="J115" s="503"/>
      <c r="K115" s="503"/>
      <c r="L115" s="503"/>
      <c r="M115" s="503"/>
      <c r="N115" s="504"/>
      <c r="O115" s="503"/>
      <c r="P115" s="505"/>
      <c r="Q115" s="440"/>
      <c r="R115" s="506"/>
      <c r="S115" s="506"/>
      <c r="T115" s="506"/>
      <c r="U115" s="505"/>
      <c r="V115" s="505"/>
      <c r="W115" s="508"/>
      <c r="X115" s="509"/>
      <c r="Y115" s="510"/>
      <c r="Z115" s="428"/>
    </row>
    <row r="116" spans="2:26" ht="12.75" hidden="1">
      <c r="B116" s="496" t="s">
        <v>523</v>
      </c>
      <c r="C116" s="414"/>
      <c r="D116" s="511"/>
      <c r="E116" s="513"/>
      <c r="F116" s="512"/>
      <c r="G116" s="514">
        <f>-PMT($C$3,$C$2,G114)</f>
        <v>6472368.852129466</v>
      </c>
      <c r="H116" s="514">
        <f>-PMT($C$3,$C$2,H114)</f>
        <v>6514852.306175897</v>
      </c>
      <c r="I116" s="515">
        <f>-PMT($C$3,$C$2,I114)</f>
        <v>6250314.361293097</v>
      </c>
      <c r="J116" s="515"/>
      <c r="K116" s="515"/>
      <c r="L116" s="515"/>
      <c r="M116" s="515"/>
      <c r="N116" s="516"/>
      <c r="O116" s="515"/>
      <c r="P116" s="517"/>
      <c r="Q116" s="423">
        <f>Q85-Q114</f>
        <v>0</v>
      </c>
      <c r="R116" s="518"/>
      <c r="S116" s="518"/>
      <c r="T116" s="518"/>
      <c r="U116" s="517"/>
      <c r="V116" s="517"/>
      <c r="W116" s="519"/>
      <c r="X116" s="520"/>
      <c r="Y116" s="514"/>
      <c r="Z116" s="428"/>
    </row>
    <row r="117" spans="2:26" ht="12.75" hidden="1">
      <c r="B117" s="465"/>
      <c r="C117" s="414"/>
      <c r="D117" s="511"/>
      <c r="E117" s="503"/>
      <c r="F117" s="512"/>
      <c r="G117" s="514"/>
      <c r="H117" s="514"/>
      <c r="I117" s="515"/>
      <c r="J117" s="515"/>
      <c r="K117" s="515"/>
      <c r="L117" s="515"/>
      <c r="M117" s="515"/>
      <c r="N117" s="516"/>
      <c r="O117" s="515"/>
      <c r="P117" s="517"/>
      <c r="Q117" s="518"/>
      <c r="R117" s="518"/>
      <c r="S117" s="518"/>
      <c r="T117" s="518"/>
      <c r="U117" s="517"/>
      <c r="V117" s="517"/>
      <c r="W117" s="519"/>
      <c r="X117" s="520"/>
      <c r="Y117" s="514"/>
      <c r="Z117" s="355"/>
    </row>
    <row r="118" spans="3:26" ht="12.75" hidden="1">
      <c r="C118" s="414"/>
      <c r="D118" s="521"/>
      <c r="E118" s="503" t="s">
        <v>524</v>
      </c>
      <c r="F118" s="522" t="s">
        <v>525</v>
      </c>
      <c r="G118" s="523"/>
      <c r="H118" s="524">
        <f>H114-$G$114</f>
        <v>584040.0093985647</v>
      </c>
      <c r="I118" s="524">
        <f>I114-$G$114</f>
        <v>-3052687.4479963034</v>
      </c>
      <c r="J118" s="524"/>
      <c r="K118" s="524"/>
      <c r="L118" s="524"/>
      <c r="M118" s="524"/>
      <c r="N118" s="525"/>
      <c r="O118" s="524"/>
      <c r="P118" s="526"/>
      <c r="Q118" s="527"/>
      <c r="R118" s="527"/>
      <c r="S118" s="527"/>
      <c r="T118" s="527"/>
      <c r="U118" s="526"/>
      <c r="V118" s="526"/>
      <c r="W118" s="528"/>
      <c r="X118" s="529"/>
      <c r="Y118" s="524"/>
      <c r="Z118" s="355"/>
    </row>
    <row r="119" spans="2:26" ht="12.75" hidden="1">
      <c r="B119" s="530" t="s">
        <v>526</v>
      </c>
      <c r="C119" s="414"/>
      <c r="D119" s="521"/>
      <c r="E119" s="503" t="s">
        <v>527</v>
      </c>
      <c r="F119" s="510"/>
      <c r="G119" s="523">
        <v>0</v>
      </c>
      <c r="H119" s="523">
        <f>H116-$G$116</f>
        <v>42483.454046431</v>
      </c>
      <c r="I119" s="531">
        <f>I116-$G$116</f>
        <v>-222054.49083636887</v>
      </c>
      <c r="J119" s="531"/>
      <c r="K119" s="531"/>
      <c r="L119" s="531"/>
      <c r="M119" s="531"/>
      <c r="N119" s="532"/>
      <c r="O119" s="531"/>
      <c r="P119" s="533"/>
      <c r="Q119" s="534"/>
      <c r="R119" s="534"/>
      <c r="S119" s="534"/>
      <c r="T119" s="534"/>
      <c r="U119" s="533"/>
      <c r="V119" s="533"/>
      <c r="W119" s="535"/>
      <c r="X119" s="536"/>
      <c r="Y119" s="523"/>
      <c r="Z119" s="355"/>
    </row>
    <row r="120" spans="2:26" ht="12.75" hidden="1">
      <c r="B120" s="530"/>
      <c r="C120" s="414"/>
      <c r="D120" s="521"/>
      <c r="E120" s="503"/>
      <c r="F120" s="510"/>
      <c r="G120" s="523"/>
      <c r="H120" s="523"/>
      <c r="I120" s="531"/>
      <c r="J120" s="531"/>
      <c r="K120" s="531"/>
      <c r="L120" s="531"/>
      <c r="M120" s="531"/>
      <c r="N120" s="532"/>
      <c r="O120" s="531"/>
      <c r="P120" s="533"/>
      <c r="Q120" s="534"/>
      <c r="R120" s="534"/>
      <c r="S120" s="534"/>
      <c r="T120" s="534"/>
      <c r="U120" s="533"/>
      <c r="V120" s="533"/>
      <c r="W120" s="535"/>
      <c r="X120" s="536"/>
      <c r="Y120" s="523"/>
      <c r="Z120" s="355"/>
    </row>
    <row r="121" spans="4:25" ht="13.5" hidden="1" thickBot="1">
      <c r="D121" s="537"/>
      <c r="E121" s="538"/>
      <c r="F121" s="539" t="s">
        <v>528</v>
      </c>
      <c r="G121" s="538"/>
      <c r="H121" s="540">
        <f>H114-$I$114</f>
        <v>3636727.457394868</v>
      </c>
      <c r="I121" s="541">
        <f>I114-$I$114</f>
        <v>0</v>
      </c>
      <c r="J121" s="542"/>
      <c r="K121" s="542"/>
      <c r="L121" s="542"/>
      <c r="M121" s="542"/>
      <c r="N121" s="543"/>
      <c r="O121" s="542"/>
      <c r="P121" s="544"/>
      <c r="Q121" s="545"/>
      <c r="R121" s="545"/>
      <c r="S121" s="545"/>
      <c r="T121" s="545"/>
      <c r="U121" s="544"/>
      <c r="V121" s="544"/>
      <c r="W121" s="546"/>
      <c r="X121" s="547"/>
      <c r="Y121" s="548"/>
    </row>
    <row r="122" spans="9:24" ht="11.25" hidden="1">
      <c r="I122" s="28"/>
      <c r="J122" s="28"/>
      <c r="K122" s="28"/>
      <c r="L122" s="28"/>
      <c r="M122" s="28"/>
      <c r="N122" s="408"/>
      <c r="O122" s="28"/>
      <c r="P122" s="409"/>
      <c r="U122" s="409"/>
      <c r="V122" s="409"/>
      <c r="X122" s="412"/>
    </row>
    <row r="123" spans="6:25" ht="11.25" hidden="1">
      <c r="F123" s="18" t="s">
        <v>529</v>
      </c>
      <c r="G123" s="34"/>
      <c r="H123" s="34">
        <f>H85-'[5]Option A'!F73</f>
        <v>0</v>
      </c>
      <c r="I123" s="349">
        <f>I85-'[5]Option B'!F74</f>
        <v>0</v>
      </c>
      <c r="J123" s="349"/>
      <c r="K123" s="349"/>
      <c r="L123" s="349"/>
      <c r="M123" s="349"/>
      <c r="N123" s="358"/>
      <c r="O123" s="349"/>
      <c r="P123" s="549"/>
      <c r="Q123" s="550"/>
      <c r="R123" s="550"/>
      <c r="S123" s="550"/>
      <c r="T123" s="550"/>
      <c r="U123" s="549"/>
      <c r="V123" s="549"/>
      <c r="W123" s="551"/>
      <c r="X123" s="552"/>
      <c r="Y123" s="34"/>
    </row>
    <row r="124" spans="9:24" ht="11.25" hidden="1">
      <c r="I124" s="28"/>
      <c r="J124" s="28"/>
      <c r="K124" s="28"/>
      <c r="L124" s="28"/>
      <c r="M124" s="28"/>
      <c r="N124" s="408"/>
      <c r="O124" s="28"/>
      <c r="P124" s="409"/>
      <c r="U124" s="409"/>
      <c r="V124" s="409"/>
      <c r="X124" s="412"/>
    </row>
    <row r="125" spans="9:24" ht="11.25" hidden="1">
      <c r="I125" s="28"/>
      <c r="J125" s="28"/>
      <c r="K125" s="28"/>
      <c r="L125" s="28"/>
      <c r="M125" s="28"/>
      <c r="N125" s="408"/>
      <c r="O125" s="28"/>
      <c r="P125" s="409"/>
      <c r="U125" s="409"/>
      <c r="V125" s="409"/>
      <c r="X125" s="412"/>
    </row>
    <row r="126" spans="8:25" ht="11.25" hidden="1">
      <c r="H126" s="150"/>
      <c r="I126" s="553"/>
      <c r="J126" s="553"/>
      <c r="K126" s="553"/>
      <c r="L126" s="553"/>
      <c r="M126" s="553"/>
      <c r="N126" s="554"/>
      <c r="O126" s="553"/>
      <c r="P126" s="555"/>
      <c r="Q126" s="556"/>
      <c r="R126" s="556"/>
      <c r="S126" s="556"/>
      <c r="T126" s="556"/>
      <c r="U126" s="555"/>
      <c r="V126" s="555"/>
      <c r="W126" s="557"/>
      <c r="X126" s="558"/>
      <c r="Y126" s="150"/>
    </row>
    <row r="127" spans="7:25" ht="11.25" hidden="1">
      <c r="G127" s="28" t="s">
        <v>530</v>
      </c>
      <c r="H127" s="150"/>
      <c r="I127" s="553">
        <v>-2400000</v>
      </c>
      <c r="J127" s="553"/>
      <c r="K127" s="553"/>
      <c r="L127" s="553"/>
      <c r="M127" s="553"/>
      <c r="N127" s="554"/>
      <c r="O127" s="553"/>
      <c r="P127" s="555"/>
      <c r="Q127" s="556"/>
      <c r="R127" s="556"/>
      <c r="S127" s="556"/>
      <c r="T127" s="556"/>
      <c r="U127" s="555"/>
      <c r="V127" s="555"/>
      <c r="W127" s="557"/>
      <c r="X127" s="558"/>
      <c r="Y127" s="150"/>
    </row>
    <row r="128" spans="7:25" ht="11.25" hidden="1">
      <c r="G128" s="28" t="s">
        <v>531</v>
      </c>
      <c r="H128" s="150">
        <v>4200000</v>
      </c>
      <c r="I128" s="553"/>
      <c r="J128" s="553"/>
      <c r="K128" s="553"/>
      <c r="L128" s="553"/>
      <c r="M128" s="553"/>
      <c r="N128" s="554"/>
      <c r="O128" s="553"/>
      <c r="P128" s="555"/>
      <c r="Q128" s="556"/>
      <c r="R128" s="556"/>
      <c r="S128" s="556"/>
      <c r="T128" s="556"/>
      <c r="U128" s="555"/>
      <c r="V128" s="555"/>
      <c r="W128" s="557"/>
      <c r="X128" s="558"/>
      <c r="Y128" s="150"/>
    </row>
    <row r="129" spans="7:26" ht="11.25" hidden="1">
      <c r="G129" s="28" t="s">
        <v>532</v>
      </c>
      <c r="H129" s="150"/>
      <c r="I129" s="553"/>
      <c r="J129" s="553"/>
      <c r="K129" s="553"/>
      <c r="L129" s="553"/>
      <c r="M129" s="553"/>
      <c r="N129" s="554"/>
      <c r="O129" s="553"/>
      <c r="P129" s="555"/>
      <c r="Q129" s="556"/>
      <c r="R129" s="556"/>
      <c r="S129" s="556"/>
      <c r="T129" s="556"/>
      <c r="U129" s="555"/>
      <c r="V129" s="555"/>
      <c r="W129" s="557"/>
      <c r="X129" s="558"/>
      <c r="Y129" s="150"/>
      <c r="Z129" s="559">
        <v>0.05</v>
      </c>
    </row>
    <row r="130" spans="4:28" ht="11.25" hidden="1">
      <c r="D130" s="560" t="s">
        <v>533</v>
      </c>
      <c r="E130" s="561"/>
      <c r="F130" s="561"/>
      <c r="G130" s="562"/>
      <c r="H130" s="563"/>
      <c r="I130" s="564"/>
      <c r="J130" s="564"/>
      <c r="K130" s="564"/>
      <c r="L130" s="564"/>
      <c r="M130" s="564"/>
      <c r="N130" s="565"/>
      <c r="O130" s="564"/>
      <c r="P130" s="566"/>
      <c r="Q130" s="567"/>
      <c r="R130" s="567"/>
      <c r="S130" s="567"/>
      <c r="T130" s="567"/>
      <c r="U130" s="566"/>
      <c r="V130" s="566"/>
      <c r="W130" s="568"/>
      <c r="X130" s="569"/>
      <c r="Y130" s="563"/>
      <c r="Z130" s="570"/>
      <c r="AA130" s="561"/>
      <c r="AB130" s="561"/>
    </row>
    <row r="131" spans="4:28" ht="11.25" hidden="1">
      <c r="D131" s="561"/>
      <c r="E131" s="561"/>
      <c r="F131" s="561"/>
      <c r="G131" s="562" t="s">
        <v>534</v>
      </c>
      <c r="H131" s="563"/>
      <c r="I131" s="564"/>
      <c r="J131" s="564"/>
      <c r="K131" s="564"/>
      <c r="L131" s="564"/>
      <c r="M131" s="564"/>
      <c r="N131" s="565"/>
      <c r="O131" s="564"/>
      <c r="P131" s="566"/>
      <c r="Q131" s="567"/>
      <c r="R131" s="567"/>
      <c r="S131" s="567"/>
      <c r="T131" s="567"/>
      <c r="U131" s="566"/>
      <c r="V131" s="566"/>
      <c r="W131" s="568"/>
      <c r="X131" s="569"/>
      <c r="Y131" s="563"/>
      <c r="Z131" s="561" t="s">
        <v>535</v>
      </c>
      <c r="AA131" s="561"/>
      <c r="AB131" s="561"/>
    </row>
    <row r="132" spans="4:28" ht="11.25" hidden="1">
      <c r="D132" s="561"/>
      <c r="E132" s="561"/>
      <c r="F132" s="561"/>
      <c r="G132" s="562" t="s">
        <v>536</v>
      </c>
      <c r="H132" s="563"/>
      <c r="I132" s="564"/>
      <c r="J132" s="564"/>
      <c r="K132" s="564"/>
      <c r="L132" s="564"/>
      <c r="M132" s="564"/>
      <c r="N132" s="565"/>
      <c r="O132" s="564"/>
      <c r="P132" s="566"/>
      <c r="Q132" s="567"/>
      <c r="R132" s="567"/>
      <c r="S132" s="567"/>
      <c r="T132" s="567"/>
      <c r="U132" s="566"/>
      <c r="V132" s="566"/>
      <c r="W132" s="568"/>
      <c r="X132" s="569"/>
      <c r="Y132" s="563"/>
      <c r="Z132" s="571" t="s">
        <v>537</v>
      </c>
      <c r="AA132" s="562"/>
      <c r="AB132" s="561"/>
    </row>
    <row r="133" spans="4:32" ht="11.25" hidden="1">
      <c r="D133" s="572" t="s">
        <v>538</v>
      </c>
      <c r="I133" s="28"/>
      <c r="J133" s="28"/>
      <c r="K133" s="28"/>
      <c r="L133" s="28"/>
      <c r="M133" s="28"/>
      <c r="N133" s="408"/>
      <c r="O133" s="28"/>
      <c r="P133" s="409"/>
      <c r="U133" s="409"/>
      <c r="V133" s="409"/>
      <c r="X133" s="412"/>
      <c r="AE133" s="246">
        <v>250</v>
      </c>
      <c r="AF133" s="573">
        <v>25000</v>
      </c>
    </row>
    <row r="134" spans="7:27" ht="11.25" hidden="1">
      <c r="G134" s="28" t="s">
        <v>539</v>
      </c>
      <c r="H134" s="150"/>
      <c r="I134" s="553"/>
      <c r="J134" s="553"/>
      <c r="K134" s="553"/>
      <c r="L134" s="553"/>
      <c r="M134" s="553"/>
      <c r="N134" s="554"/>
      <c r="O134" s="553"/>
      <c r="P134" s="555"/>
      <c r="Q134" s="556"/>
      <c r="R134" s="556"/>
      <c r="S134" s="556"/>
      <c r="T134" s="556"/>
      <c r="U134" s="555"/>
      <c r="V134" s="555"/>
      <c r="W134" s="557"/>
      <c r="X134" s="558"/>
      <c r="Y134" s="150"/>
      <c r="Z134" s="96" t="e">
        <f>#REF!-#REF!</f>
        <v>#REF!</v>
      </c>
      <c r="AA134" s="574">
        <f>AF133</f>
        <v>25000</v>
      </c>
    </row>
    <row r="135" spans="7:27" ht="11.25" hidden="1">
      <c r="G135" s="28" t="s">
        <v>540</v>
      </c>
      <c r="H135" s="150"/>
      <c r="I135" s="553"/>
      <c r="J135" s="553"/>
      <c r="K135" s="553"/>
      <c r="L135" s="553"/>
      <c r="M135" s="553"/>
      <c r="N135" s="554"/>
      <c r="O135" s="553"/>
      <c r="P135" s="555"/>
      <c r="Q135" s="556"/>
      <c r="R135" s="556"/>
      <c r="S135" s="556"/>
      <c r="T135" s="556"/>
      <c r="U135" s="555"/>
      <c r="V135" s="555"/>
      <c r="W135" s="557"/>
      <c r="X135" s="558"/>
      <c r="Y135" s="150"/>
      <c r="AA135" s="150"/>
    </row>
    <row r="136" spans="4:27" ht="11.25" hidden="1">
      <c r="D136" s="561" t="s">
        <v>541</v>
      </c>
      <c r="E136" s="561"/>
      <c r="F136" s="561"/>
      <c r="G136" s="561"/>
      <c r="H136" s="563"/>
      <c r="I136" s="564"/>
      <c r="J136" s="564"/>
      <c r="K136" s="564"/>
      <c r="L136" s="564"/>
      <c r="M136" s="564"/>
      <c r="N136" s="565"/>
      <c r="O136" s="564"/>
      <c r="P136" s="566"/>
      <c r="Q136" s="567"/>
      <c r="R136" s="567"/>
      <c r="S136" s="567"/>
      <c r="T136" s="567"/>
      <c r="U136" s="566"/>
      <c r="V136" s="566"/>
      <c r="W136" s="568"/>
      <c r="X136" s="569"/>
      <c r="Y136" s="563"/>
      <c r="AA136" s="150"/>
    </row>
    <row r="137" spans="4:27" ht="11.25" hidden="1">
      <c r="D137" s="561" t="s">
        <v>542</v>
      </c>
      <c r="E137" s="561"/>
      <c r="F137" s="561"/>
      <c r="G137" s="561"/>
      <c r="H137" s="563"/>
      <c r="I137" s="575">
        <f>'[5]Interest Rate Impact delay'!E9</f>
        <v>0.02890229028113126</v>
      </c>
      <c r="J137" s="575"/>
      <c r="K137" s="564"/>
      <c r="L137" s="564"/>
      <c r="M137" s="564"/>
      <c r="N137" s="565"/>
      <c r="O137" s="564"/>
      <c r="P137" s="566"/>
      <c r="Q137" s="567"/>
      <c r="R137" s="567"/>
      <c r="S137" s="567"/>
      <c r="T137" s="567"/>
      <c r="U137" s="566"/>
      <c r="V137" s="566"/>
      <c r="W137" s="568"/>
      <c r="X137" s="569"/>
      <c r="Y137" s="563"/>
      <c r="AA137" s="150"/>
    </row>
    <row r="138" spans="4:27" ht="11.25" hidden="1">
      <c r="D138" s="561" t="s">
        <v>543</v>
      </c>
      <c r="E138" s="561"/>
      <c r="F138" s="561"/>
      <c r="G138" s="561"/>
      <c r="H138" s="561"/>
      <c r="I138" s="576">
        <v>0.05</v>
      </c>
      <c r="J138" s="576"/>
      <c r="K138" s="564"/>
      <c r="L138" s="564"/>
      <c r="M138" s="564"/>
      <c r="N138" s="565"/>
      <c r="O138" s="564"/>
      <c r="P138" s="566"/>
      <c r="Q138" s="567"/>
      <c r="R138" s="567"/>
      <c r="S138" s="567"/>
      <c r="T138" s="567"/>
      <c r="U138" s="566"/>
      <c r="V138" s="566"/>
      <c r="W138" s="568"/>
      <c r="X138" s="569"/>
      <c r="Y138" s="563"/>
      <c r="AA138" s="150"/>
    </row>
    <row r="139" spans="9:27" ht="11.25" hidden="1">
      <c r="I139" s="553"/>
      <c r="J139" s="553"/>
      <c r="K139" s="28"/>
      <c r="L139" s="28"/>
      <c r="M139" s="28"/>
      <c r="N139" s="408"/>
      <c r="O139" s="28"/>
      <c r="P139" s="409"/>
      <c r="U139" s="409"/>
      <c r="V139" s="409"/>
      <c r="X139" s="412"/>
      <c r="AA139" s="150"/>
    </row>
    <row r="140" spans="9:27" ht="11.25" hidden="1">
      <c r="I140" s="28"/>
      <c r="J140" s="28"/>
      <c r="K140" s="28"/>
      <c r="L140" s="28"/>
      <c r="M140" s="28"/>
      <c r="N140" s="408"/>
      <c r="O140" s="28"/>
      <c r="P140" s="409"/>
      <c r="U140" s="409"/>
      <c r="V140" s="409"/>
      <c r="X140" s="412"/>
      <c r="AA140" s="150"/>
    </row>
    <row r="141" spans="3:24" ht="11.25" hidden="1">
      <c r="C141" s="93"/>
      <c r="I141" s="28"/>
      <c r="J141" s="28"/>
      <c r="K141" s="28"/>
      <c r="L141" s="28"/>
      <c r="M141" s="28"/>
      <c r="N141" s="408"/>
      <c r="O141" s="28"/>
      <c r="P141" s="409"/>
      <c r="U141" s="409"/>
      <c r="V141" s="409"/>
      <c r="X141" s="412"/>
    </row>
    <row r="142" spans="9:24" ht="11.25" hidden="1">
      <c r="I142" s="28"/>
      <c r="J142" s="28"/>
      <c r="K142" s="28"/>
      <c r="L142" s="28"/>
      <c r="M142" s="28"/>
      <c r="N142" s="408"/>
      <c r="O142" s="28"/>
      <c r="P142" s="409"/>
      <c r="U142" s="409"/>
      <c r="V142" s="409"/>
      <c r="X142" s="412"/>
    </row>
    <row r="143" spans="9:24" ht="11.25" hidden="1">
      <c r="I143" s="28"/>
      <c r="J143" s="28"/>
      <c r="K143" s="28"/>
      <c r="L143" s="28"/>
      <c r="M143" s="28"/>
      <c r="N143" s="408"/>
      <c r="O143" s="28"/>
      <c r="P143" s="409"/>
      <c r="U143" s="409"/>
      <c r="V143" s="409"/>
      <c r="X143" s="412"/>
    </row>
    <row r="144" spans="9:24" ht="11.25" hidden="1">
      <c r="I144" s="28"/>
      <c r="J144" s="28"/>
      <c r="K144" s="28"/>
      <c r="L144" s="28"/>
      <c r="M144" s="28"/>
      <c r="N144" s="408"/>
      <c r="O144" s="28"/>
      <c r="P144" s="409"/>
      <c r="U144" s="409"/>
      <c r="V144" s="409"/>
      <c r="X144" s="412"/>
    </row>
    <row r="145" spans="9:24" ht="11.25" hidden="1">
      <c r="I145" s="28"/>
      <c r="J145" s="28"/>
      <c r="K145" s="28"/>
      <c r="L145" s="28"/>
      <c r="M145" s="28"/>
      <c r="N145" s="408"/>
      <c r="O145" s="28"/>
      <c r="P145" s="409"/>
      <c r="U145" s="409"/>
      <c r="V145" s="409"/>
      <c r="X145" s="412"/>
    </row>
    <row r="146" spans="9:24" ht="11.25" hidden="1">
      <c r="I146" s="28"/>
      <c r="J146" s="28"/>
      <c r="K146" s="28"/>
      <c r="L146" s="28"/>
      <c r="M146" s="28"/>
      <c r="N146" s="408"/>
      <c r="O146" s="28"/>
      <c r="P146" s="409"/>
      <c r="U146" s="409"/>
      <c r="V146" s="409"/>
      <c r="X146" s="412"/>
    </row>
    <row r="147" spans="9:24" ht="11.25" hidden="1">
      <c r="I147" s="28"/>
      <c r="J147" s="28"/>
      <c r="K147" s="28"/>
      <c r="L147" s="28"/>
      <c r="M147" s="28"/>
      <c r="N147" s="408"/>
      <c r="O147" s="28"/>
      <c r="P147" s="409"/>
      <c r="U147" s="409"/>
      <c r="V147" s="409"/>
      <c r="X147" s="412"/>
    </row>
    <row r="148" spans="9:24" ht="11.25" hidden="1">
      <c r="I148" s="28"/>
      <c r="J148" s="28"/>
      <c r="K148" s="28"/>
      <c r="L148" s="28"/>
      <c r="M148" s="28"/>
      <c r="N148" s="408"/>
      <c r="O148" s="28"/>
      <c r="P148" s="409"/>
      <c r="U148" s="409"/>
      <c r="V148" s="409"/>
      <c r="X148" s="412"/>
    </row>
    <row r="149" spans="9:24" ht="11.25" hidden="1">
      <c r="I149" s="28"/>
      <c r="J149" s="28"/>
      <c r="K149" s="28"/>
      <c r="L149" s="28"/>
      <c r="M149" s="28"/>
      <c r="N149" s="408"/>
      <c r="O149" s="28"/>
      <c r="P149" s="409"/>
      <c r="U149" s="409"/>
      <c r="V149" s="409"/>
      <c r="X149" s="412"/>
    </row>
    <row r="150" spans="9:24" ht="11.25" hidden="1">
      <c r="I150" s="28"/>
      <c r="J150" s="28"/>
      <c r="K150" s="28"/>
      <c r="L150" s="28"/>
      <c r="M150" s="28"/>
      <c r="N150" s="408"/>
      <c r="O150" s="28"/>
      <c r="P150" s="409"/>
      <c r="U150" s="409"/>
      <c r="V150" s="409"/>
      <c r="X150" s="412"/>
    </row>
    <row r="151" spans="9:24" ht="11.25" hidden="1">
      <c r="I151" s="28"/>
      <c r="J151" s="28"/>
      <c r="K151" s="28"/>
      <c r="L151" s="28"/>
      <c r="M151" s="28"/>
      <c r="N151" s="408"/>
      <c r="O151" s="28"/>
      <c r="P151" s="409"/>
      <c r="U151" s="409"/>
      <c r="V151" s="409"/>
      <c r="X151" s="412"/>
    </row>
    <row r="152" spans="9:24" ht="11.25" hidden="1">
      <c r="I152" s="28"/>
      <c r="J152" s="28"/>
      <c r="K152" s="28"/>
      <c r="L152" s="28"/>
      <c r="M152" s="28"/>
      <c r="N152" s="408"/>
      <c r="O152" s="28"/>
      <c r="P152" s="409"/>
      <c r="U152" s="409"/>
      <c r="V152" s="409"/>
      <c r="X152" s="412"/>
    </row>
    <row r="153" spans="9:24" ht="11.25" hidden="1">
      <c r="I153" s="28"/>
      <c r="J153" s="28"/>
      <c r="K153" s="28"/>
      <c r="L153" s="28"/>
      <c r="M153" s="28"/>
      <c r="N153" s="408"/>
      <c r="O153" s="28"/>
      <c r="P153" s="409"/>
      <c r="U153" s="409"/>
      <c r="V153" s="409"/>
      <c r="X153" s="412"/>
    </row>
    <row r="154" spans="9:24" ht="11.25" hidden="1">
      <c r="I154" s="28"/>
      <c r="J154" s="28"/>
      <c r="K154" s="28"/>
      <c r="L154" s="28"/>
      <c r="M154" s="28"/>
      <c r="N154" s="408"/>
      <c r="O154" s="28"/>
      <c r="P154" s="409"/>
      <c r="U154" s="409"/>
      <c r="V154" s="409"/>
      <c r="X154" s="412"/>
    </row>
    <row r="155" spans="9:22" ht="11.25">
      <c r="I155" s="28"/>
      <c r="J155" s="28"/>
      <c r="K155" s="28"/>
      <c r="L155" s="28"/>
      <c r="M155" s="28"/>
      <c r="N155" s="408"/>
      <c r="O155" s="28"/>
      <c r="P155" s="409"/>
      <c r="U155" s="409"/>
      <c r="V155" s="409"/>
    </row>
    <row r="156" spans="9:22" ht="11.25">
      <c r="I156" s="28"/>
      <c r="J156" s="28"/>
      <c r="K156" s="28"/>
      <c r="L156" s="28"/>
      <c r="M156" s="28"/>
      <c r="N156" s="408"/>
      <c r="O156" s="28"/>
      <c r="P156" s="409"/>
      <c r="U156" s="409"/>
      <c r="V156" s="409"/>
    </row>
    <row r="157" spans="9:22" ht="11.25">
      <c r="I157" s="28"/>
      <c r="J157" s="28"/>
      <c r="K157" s="28"/>
      <c r="L157" s="28"/>
      <c r="M157" s="28"/>
      <c r="N157" s="408"/>
      <c r="O157" s="28"/>
      <c r="P157" s="409"/>
      <c r="U157" s="409"/>
      <c r="V157" s="409"/>
    </row>
    <row r="158" spans="3:25" ht="11.25" hidden="1">
      <c r="C158" s="28" t="s">
        <v>544</v>
      </c>
      <c r="D158" s="18" t="s">
        <v>48</v>
      </c>
      <c r="H158" s="82" t="s">
        <v>545</v>
      </c>
      <c r="I158" s="577">
        <f aca="true" t="shared" si="11" ref="I158:O158">I97/I13</f>
        <v>294.8853272030652</v>
      </c>
      <c r="J158" s="577"/>
      <c r="K158" s="577">
        <f t="shared" si="11"/>
        <v>296.5209963768116</v>
      </c>
      <c r="L158" s="577">
        <f t="shared" si="11"/>
        <v>297.02942708333336</v>
      </c>
      <c r="M158" s="577">
        <f t="shared" si="11"/>
        <v>303.85447463768116</v>
      </c>
      <c r="N158" s="578">
        <f t="shared" si="11"/>
        <v>301.2377604166667</v>
      </c>
      <c r="O158" s="577">
        <f t="shared" si="11"/>
        <v>309.78557471264367</v>
      </c>
      <c r="P158" s="579">
        <f>P97/P13</f>
        <v>315.6162326388889</v>
      </c>
      <c r="Q158" s="579">
        <f>Q97/Q13</f>
        <v>318.7184252001745</v>
      </c>
      <c r="R158" s="580"/>
      <c r="S158" s="580"/>
      <c r="T158" s="580"/>
      <c r="U158" s="579"/>
      <c r="V158" s="579"/>
      <c r="W158" s="581"/>
      <c r="X158" s="581"/>
      <c r="Y158" s="577">
        <f>Y97/Y13</f>
        <v>301.66929210727966</v>
      </c>
    </row>
    <row r="159" spans="3:25" ht="11.25" hidden="1">
      <c r="C159" s="28" t="s">
        <v>546</v>
      </c>
      <c r="D159" s="28" t="s">
        <v>547</v>
      </c>
      <c r="I159" s="582">
        <f aca="true" t="shared" si="12" ref="I159:O159">I99/I13</f>
        <v>329.2184256092225</v>
      </c>
      <c r="J159" s="582"/>
      <c r="K159" s="582">
        <f t="shared" si="12"/>
        <v>330.37903770801245</v>
      </c>
      <c r="L159" s="582">
        <f t="shared" si="12"/>
        <v>331.56609388880537</v>
      </c>
      <c r="M159" s="582">
        <f t="shared" si="12"/>
        <v>339.4132100126085</v>
      </c>
      <c r="N159" s="583">
        <f t="shared" si="12"/>
        <v>336.1058301580762</v>
      </c>
      <c r="O159" s="582">
        <f t="shared" si="12"/>
        <v>346.4797953398369</v>
      </c>
      <c r="P159" s="584">
        <f>P99/P13</f>
        <v>351.6165957447515</v>
      </c>
      <c r="Q159" s="584">
        <f>Q99/Q13</f>
        <v>355.1100467265826</v>
      </c>
      <c r="R159" s="585"/>
      <c r="S159" s="585"/>
      <c r="T159" s="585"/>
      <c r="U159" s="584"/>
      <c r="V159" s="584"/>
      <c r="W159" s="586"/>
      <c r="X159" s="586"/>
      <c r="Y159" s="582">
        <f>Y99/Y13</f>
        <v>337.72436187087305</v>
      </c>
    </row>
    <row r="160" spans="9:25" ht="11.25" hidden="1">
      <c r="I160" s="28"/>
      <c r="J160" s="28"/>
      <c r="K160" s="349"/>
      <c r="L160" s="28"/>
      <c r="M160" s="28"/>
      <c r="N160" s="408"/>
      <c r="O160" s="28"/>
      <c r="P160" s="587"/>
      <c r="Q160" s="587"/>
      <c r="R160" s="588"/>
      <c r="S160" s="588"/>
      <c r="T160" s="588"/>
      <c r="U160" s="587"/>
      <c r="V160" s="587"/>
      <c r="W160" s="589"/>
      <c r="X160" s="589"/>
      <c r="Y160" s="28"/>
    </row>
    <row r="161" spans="9:25" ht="11.25" hidden="1">
      <c r="I161" s="28" t="s">
        <v>548</v>
      </c>
      <c r="J161" s="28"/>
      <c r="K161" s="349">
        <f aca="true" t="shared" si="13" ref="K161:Y161">K99-$I$99</f>
        <v>5258605.323404372</v>
      </c>
      <c r="L161" s="349">
        <f t="shared" si="13"/>
        <v>9565025.955968872</v>
      </c>
      <c r="M161" s="349">
        <f t="shared" si="13"/>
        <v>7752036.879472867</v>
      </c>
      <c r="N161" s="358">
        <f t="shared" si="13"/>
        <v>10872470.001518875</v>
      </c>
      <c r="O161" s="349">
        <f t="shared" si="13"/>
        <v>4505217.499690369</v>
      </c>
      <c r="P161" s="370">
        <f t="shared" si="13"/>
        <v>15339570.490481362</v>
      </c>
      <c r="Q161" s="370">
        <f t="shared" si="13"/>
        <v>15014731.918117478</v>
      </c>
      <c r="R161" s="372"/>
      <c r="S161" s="372"/>
      <c r="T161" s="372"/>
      <c r="U161" s="370"/>
      <c r="V161" s="370"/>
      <c r="W161" s="375"/>
      <c r="X161" s="375"/>
      <c r="Y161" s="349">
        <f t="shared" si="13"/>
        <v>2220049.3642908037</v>
      </c>
    </row>
    <row r="162" spans="9:25" ht="11.25" hidden="1">
      <c r="I162" s="28"/>
      <c r="J162" s="28"/>
      <c r="K162" s="590"/>
      <c r="L162" s="590"/>
      <c r="M162" s="590"/>
      <c r="N162" s="591"/>
      <c r="O162" s="590"/>
      <c r="P162" s="592"/>
      <c r="Q162" s="592"/>
      <c r="R162" s="593"/>
      <c r="S162" s="593"/>
      <c r="T162" s="593"/>
      <c r="U162" s="592"/>
      <c r="V162" s="592"/>
      <c r="W162" s="594"/>
      <c r="X162" s="594"/>
      <c r="Y162" s="590"/>
    </row>
    <row r="163" spans="9:25" ht="12.75" hidden="1">
      <c r="I163" s="28" t="s">
        <v>549</v>
      </c>
      <c r="J163" s="28"/>
      <c r="K163" s="595">
        <f>-PMT('[1]Revised Summary'!$C$15,'[1]Revised Summary'!$C$16,K161)</f>
        <v>365589.79569324985</v>
      </c>
      <c r="L163" s="595">
        <f>-PMT('[1]Revised Summary'!$C$15,'[1]Revised Summary'!$C$16,L161)</f>
        <v>664981.6196472882</v>
      </c>
      <c r="M163" s="595">
        <f>-PMT('[1]Revised Summary'!$C$15,'[1]Revised Summary'!$C$16,M161)</f>
        <v>538938.6357556637</v>
      </c>
      <c r="N163" s="596">
        <f>-PMT('[1]Revised Summary'!$C$15,'[1]Revised Summary'!$C$16,N161)</f>
        <v>755878.0022614406</v>
      </c>
      <c r="O163" s="595">
        <f>-PMT('[1]Revised Summary'!$C$15,'[1]Revised Summary'!$C$16,O161)</f>
        <v>313212.6189305197</v>
      </c>
      <c r="P163" s="597">
        <f>-PMT('[1]Revised Summary'!$C$15,'[1]Revised Summary'!$C$16,P161)</f>
        <v>1066440.6428597923</v>
      </c>
      <c r="Q163" s="597">
        <f>-PMT('[1]Revised Summary'!$C$15,'[1]Revised Summary'!$C$16,Q161)</f>
        <v>1043857.1516106494</v>
      </c>
      <c r="R163" s="598"/>
      <c r="S163" s="598"/>
      <c r="T163" s="598"/>
      <c r="U163" s="597"/>
      <c r="V163" s="597"/>
      <c r="W163" s="599"/>
      <c r="X163" s="599"/>
      <c r="Y163" s="595">
        <f>-PMT('[1]Revised Summary'!$C$15,'[1]Revised Summary'!$C$16,Y161)</f>
        <v>154342.7094457365</v>
      </c>
    </row>
    <row r="164" spans="9:25" ht="12.75" hidden="1">
      <c r="I164" s="28"/>
      <c r="J164" s="28"/>
      <c r="K164" s="595"/>
      <c r="L164" s="595"/>
      <c r="M164" s="595"/>
      <c r="N164" s="596"/>
      <c r="O164" s="595"/>
      <c r="P164" s="597"/>
      <c r="Q164" s="597"/>
      <c r="R164" s="598"/>
      <c r="S164" s="598"/>
      <c r="T164" s="598"/>
      <c r="U164" s="597"/>
      <c r="V164" s="597"/>
      <c r="W164" s="599"/>
      <c r="X164" s="599"/>
      <c r="Y164" s="595"/>
    </row>
    <row r="165" spans="9:25" ht="11.25" hidden="1">
      <c r="I165" s="28" t="s">
        <v>550</v>
      </c>
      <c r="J165" s="28"/>
      <c r="K165" s="600">
        <f aca="true" t="shared" si="14" ref="K165:Y165">K13-$I$13</f>
        <v>15000</v>
      </c>
      <c r="L165" s="600">
        <f t="shared" si="14"/>
        <v>27000</v>
      </c>
      <c r="M165" s="600">
        <f t="shared" si="14"/>
        <v>15000</v>
      </c>
      <c r="N165" s="601">
        <f t="shared" si="14"/>
        <v>27000</v>
      </c>
      <c r="O165" s="600">
        <f t="shared" si="14"/>
        <v>0</v>
      </c>
      <c r="P165" s="602">
        <f t="shared" si="14"/>
        <v>27000</v>
      </c>
      <c r="Q165" s="602">
        <f t="shared" si="14"/>
        <v>23252</v>
      </c>
      <c r="R165" s="603"/>
      <c r="S165" s="603"/>
      <c r="T165" s="603"/>
      <c r="U165" s="602"/>
      <c r="V165" s="602"/>
      <c r="W165" s="604"/>
      <c r="X165" s="604"/>
      <c r="Y165" s="600">
        <f t="shared" si="14"/>
        <v>0</v>
      </c>
    </row>
    <row r="166" spans="9:25" ht="12.75" hidden="1">
      <c r="I166" s="28"/>
      <c r="J166" s="28"/>
      <c r="K166" s="595"/>
      <c r="L166" s="595"/>
      <c r="M166" s="595"/>
      <c r="N166" s="596"/>
      <c r="O166" s="595"/>
      <c r="P166" s="597"/>
      <c r="Q166" s="597"/>
      <c r="R166" s="598"/>
      <c r="S166" s="598"/>
      <c r="T166" s="598"/>
      <c r="U166" s="597"/>
      <c r="V166" s="597"/>
      <c r="W166" s="599"/>
      <c r="X166" s="599"/>
      <c r="Y166" s="595"/>
    </row>
    <row r="167" spans="9:25" ht="11.25" hidden="1">
      <c r="I167" s="28" t="s">
        <v>551</v>
      </c>
      <c r="J167" s="28"/>
      <c r="K167" s="553">
        <f>'[1]Lease Space vacated and rents'!$I$43*K165</f>
        <v>284479.9974410919</v>
      </c>
      <c r="L167" s="553">
        <f>'[1]Lease Space vacated and rents'!$I$43*L165</f>
        <v>512063.99539396545</v>
      </c>
      <c r="M167" s="553">
        <f>'[1]Lease Space vacated and rents'!$I$43*M165</f>
        <v>284479.9974410919</v>
      </c>
      <c r="N167" s="554">
        <f>'[1]Lease Space vacated and rents'!$I$43*N165</f>
        <v>512063.99539396545</v>
      </c>
      <c r="O167" s="553">
        <f>'[1]Lease Space vacated and rents'!$I$43*O165</f>
        <v>0</v>
      </c>
      <c r="P167" s="605">
        <f>'[1]Lease Space vacated and rents'!$I$43*P165</f>
        <v>512063.99539396545</v>
      </c>
      <c r="Q167" s="605">
        <f>'[1]Lease Space vacated and rents'!$I$43*Q165</f>
        <v>440981.926700018</v>
      </c>
      <c r="R167" s="606"/>
      <c r="S167" s="606"/>
      <c r="T167" s="606"/>
      <c r="U167" s="605"/>
      <c r="V167" s="605"/>
      <c r="W167" s="607"/>
      <c r="X167" s="607"/>
      <c r="Y167" s="553">
        <f>'[1]Lease Space vacated and rents'!$I$43*Y165</f>
        <v>0</v>
      </c>
    </row>
    <row r="168" spans="9:25" ht="11.25" hidden="1">
      <c r="I168" s="28" t="s">
        <v>552</v>
      </c>
      <c r="J168" s="28"/>
      <c r="K168" s="28"/>
      <c r="L168" s="28"/>
      <c r="M168" s="28"/>
      <c r="N168" s="408"/>
      <c r="O168" s="28"/>
      <c r="P168" s="587"/>
      <c r="Q168" s="587"/>
      <c r="R168" s="588"/>
      <c r="S168" s="588"/>
      <c r="T168" s="588"/>
      <c r="U168" s="587"/>
      <c r="V168" s="587"/>
      <c r="W168" s="589"/>
      <c r="X168" s="589"/>
      <c r="Y168" s="28"/>
    </row>
    <row r="169" spans="9:25" ht="11.25" hidden="1">
      <c r="I169" s="28" t="s">
        <v>553</v>
      </c>
      <c r="J169" s="28"/>
      <c r="K169" s="553">
        <f aca="true" t="shared" si="15" ref="K169:Y169">K167-K163</f>
        <v>-81109.79825215793</v>
      </c>
      <c r="L169" s="553">
        <f t="shared" si="15"/>
        <v>-152917.62425332278</v>
      </c>
      <c r="M169" s="553">
        <f t="shared" si="15"/>
        <v>-254458.6383145718</v>
      </c>
      <c r="N169" s="554">
        <f t="shared" si="15"/>
        <v>-243814.00686747517</v>
      </c>
      <c r="O169" s="553">
        <f t="shared" si="15"/>
        <v>-313212.6189305197</v>
      </c>
      <c r="P169" s="605">
        <f t="shared" si="15"/>
        <v>-554376.647465827</v>
      </c>
      <c r="Q169" s="605">
        <f t="shared" si="15"/>
        <v>-602875.2249106314</v>
      </c>
      <c r="R169" s="606"/>
      <c r="S169" s="606"/>
      <c r="T169" s="606"/>
      <c r="U169" s="605"/>
      <c r="V169" s="605"/>
      <c r="W169" s="607"/>
      <c r="X169" s="607"/>
      <c r="Y169" s="553">
        <f t="shared" si="15"/>
        <v>-154342.7094457365</v>
      </c>
    </row>
    <row r="170" spans="9:25" ht="11.25" hidden="1">
      <c r="I170" s="28" t="s">
        <v>554</v>
      </c>
      <c r="J170" s="28"/>
      <c r="K170" s="553">
        <f aca="true" t="shared" si="16" ref="K170:Y170">K169-K176</f>
        <v>-130345.33883482362</v>
      </c>
      <c r="L170" s="553">
        <f t="shared" si="16"/>
        <v>-202153.1648359885</v>
      </c>
      <c r="M170" s="553">
        <f t="shared" si="16"/>
        <v>-315056.2267240065</v>
      </c>
      <c r="N170" s="554">
        <f t="shared" si="16"/>
        <v>-304411.5952769099</v>
      </c>
      <c r="O170" s="553">
        <f t="shared" si="16"/>
        <v>-373810.2073399544</v>
      </c>
      <c r="P170" s="605">
        <f t="shared" si="16"/>
        <v>-614974.2358752616</v>
      </c>
      <c r="Q170" s="605">
        <f t="shared" si="16"/>
        <v>-663472.8133200661</v>
      </c>
      <c r="R170" s="606"/>
      <c r="S170" s="606"/>
      <c r="T170" s="606"/>
      <c r="U170" s="605"/>
      <c r="V170" s="605"/>
      <c r="W170" s="607"/>
      <c r="X170" s="607"/>
      <c r="Y170" s="553">
        <f t="shared" si="16"/>
        <v>-214940.29785517117</v>
      </c>
    </row>
    <row r="171" spans="9:25" ht="11.25" hidden="1">
      <c r="I171" s="28"/>
      <c r="J171" s="28"/>
      <c r="K171" s="28"/>
      <c r="L171" s="28"/>
      <c r="M171" s="28"/>
      <c r="N171" s="408"/>
      <c r="O171" s="28"/>
      <c r="P171" s="587"/>
      <c r="Q171" s="587"/>
      <c r="R171" s="588"/>
      <c r="S171" s="588"/>
      <c r="T171" s="588"/>
      <c r="U171" s="587"/>
      <c r="V171" s="587"/>
      <c r="W171" s="589"/>
      <c r="X171" s="589"/>
      <c r="Y171" s="28"/>
    </row>
    <row r="172" spans="14:17" ht="11.25" hidden="1">
      <c r="N172" s="18"/>
      <c r="Q172" s="18"/>
    </row>
    <row r="173" spans="9:25" ht="11.25" hidden="1">
      <c r="I173" s="28"/>
      <c r="J173" s="28"/>
      <c r="K173" s="600"/>
      <c r="L173" s="600"/>
      <c r="M173" s="600"/>
      <c r="N173" s="601"/>
      <c r="O173" s="600"/>
      <c r="P173" s="602"/>
      <c r="Q173" s="602"/>
      <c r="R173" s="603"/>
      <c r="S173" s="603"/>
      <c r="T173" s="603"/>
      <c r="U173" s="602"/>
      <c r="V173" s="602"/>
      <c r="W173" s="604"/>
      <c r="X173" s="604"/>
      <c r="Y173" s="600"/>
    </row>
    <row r="174" spans="9:25" ht="11.25" hidden="1">
      <c r="I174" s="608" t="s">
        <v>555</v>
      </c>
      <c r="J174" s="608"/>
      <c r="K174" s="609">
        <v>650000</v>
      </c>
      <c r="L174" s="609">
        <f>K174</f>
        <v>650000</v>
      </c>
      <c r="M174" s="609">
        <v>800000</v>
      </c>
      <c r="N174" s="610">
        <f>M174</f>
        <v>800000</v>
      </c>
      <c r="O174" s="609">
        <f>N174</f>
        <v>800000</v>
      </c>
      <c r="P174" s="611">
        <f>O174</f>
        <v>800000</v>
      </c>
      <c r="Q174" s="611">
        <f>P174</f>
        <v>800000</v>
      </c>
      <c r="R174" s="612"/>
      <c r="S174" s="612"/>
      <c r="T174" s="612"/>
      <c r="U174" s="611"/>
      <c r="V174" s="611"/>
      <c r="W174" s="613"/>
      <c r="X174" s="613"/>
      <c r="Y174" s="609">
        <f>P174</f>
        <v>800000</v>
      </c>
    </row>
    <row r="175" spans="9:25" ht="11.25" hidden="1">
      <c r="I175" s="614" t="s">
        <v>556</v>
      </c>
      <c r="J175" s="614"/>
      <c r="K175" s="609">
        <f>K174*(1.01)*(1+'[1]Proviso Summary'!$K$107)</f>
        <v>708198.85800625</v>
      </c>
      <c r="L175" s="609">
        <f>L174*(1.01)*(1+'[1]Proviso Summary'!$K$107)</f>
        <v>708198.85800625</v>
      </c>
      <c r="M175" s="609">
        <f>M174*(1.01)*(1+'[1]Proviso Summary'!$K$107)</f>
        <v>871629.3637</v>
      </c>
      <c r="N175" s="610">
        <f>N174*(1.01)*(1+'[1]Proviso Summary'!$K$107)</f>
        <v>871629.3637</v>
      </c>
      <c r="O175" s="609">
        <f>O174*(1.01)*(1+'[1]Proviso Summary'!$K$107)</f>
        <v>871629.3637</v>
      </c>
      <c r="P175" s="611">
        <f>P174*(1.01)*(1+'[1]Proviso Summary'!$K$107)</f>
        <v>871629.3637</v>
      </c>
      <c r="Q175" s="611">
        <f>Q174*(1.01)*(1+'[1]Proviso Summary'!$K$107)</f>
        <v>871629.3637</v>
      </c>
      <c r="R175" s="612"/>
      <c r="S175" s="612"/>
      <c r="T175" s="612"/>
      <c r="U175" s="611"/>
      <c r="V175" s="611"/>
      <c r="W175" s="613"/>
      <c r="X175" s="613"/>
      <c r="Y175" s="609">
        <f>Y174*(1.01)*(1+'[1]Proviso Summary'!$K$107)</f>
        <v>871629.3637</v>
      </c>
    </row>
    <row r="176" spans="9:25" ht="12.75" hidden="1">
      <c r="I176" s="614" t="s">
        <v>557</v>
      </c>
      <c r="J176" s="614"/>
      <c r="K176" s="615">
        <f>-PMT('[1]Revised Summary'!$C$15,'[1]Revised Summary'!$C$16,K175)</f>
        <v>49235.54058266569</v>
      </c>
      <c r="L176" s="615">
        <f>-PMT('[1]Revised Summary'!$C$15,'[1]Revised Summary'!$C$16,L175)</f>
        <v>49235.54058266569</v>
      </c>
      <c r="M176" s="615">
        <f>-PMT('[1]Revised Summary'!$C$15,'[1]Revised Summary'!$C$16,M175)</f>
        <v>60597.58840943469</v>
      </c>
      <c r="N176" s="616">
        <f>-PMT('[1]Revised Summary'!$C$15,'[1]Revised Summary'!$C$16,N175)</f>
        <v>60597.58840943469</v>
      </c>
      <c r="O176" s="615">
        <f>-PMT('[1]Revised Summary'!$C$15,'[1]Revised Summary'!$C$16,O175)</f>
        <v>60597.58840943469</v>
      </c>
      <c r="P176" s="617">
        <f>-PMT('[1]Revised Summary'!$C$15,'[1]Revised Summary'!$C$16,P175)</f>
        <v>60597.58840943469</v>
      </c>
      <c r="Q176" s="617">
        <f>-PMT('[1]Revised Summary'!$C$15,'[1]Revised Summary'!$C$16,Q175)</f>
        <v>60597.58840943469</v>
      </c>
      <c r="R176" s="618"/>
      <c r="S176" s="618"/>
      <c r="T176" s="618"/>
      <c r="U176" s="617"/>
      <c r="V176" s="617"/>
      <c r="W176" s="599"/>
      <c r="X176" s="599"/>
      <c r="Y176" s="615">
        <f>-PMT('[1]Revised Summary'!$C$15,'[1]Revised Summary'!$C$16,Y175)</f>
        <v>60597.58840943469</v>
      </c>
    </row>
    <row r="177" spans="16:22" ht="11.25" hidden="1">
      <c r="P177" s="409"/>
      <c r="U177" s="409"/>
      <c r="V177" s="409"/>
    </row>
    <row r="178" spans="9:25" ht="11.25" hidden="1">
      <c r="I178" s="82" t="s">
        <v>558</v>
      </c>
      <c r="J178" s="82"/>
      <c r="K178" s="250" t="s">
        <v>403</v>
      </c>
      <c r="L178" s="250" t="s">
        <v>404</v>
      </c>
      <c r="M178" s="250" t="s">
        <v>405</v>
      </c>
      <c r="N178" s="251" t="s">
        <v>406</v>
      </c>
      <c r="O178" s="250" t="s">
        <v>407</v>
      </c>
      <c r="P178" s="252" t="s">
        <v>559</v>
      </c>
      <c r="Q178" s="253"/>
      <c r="R178" s="253"/>
      <c r="S178" s="253"/>
      <c r="T178" s="253"/>
      <c r="U178" s="252"/>
      <c r="V178" s="252"/>
      <c r="W178" s="256"/>
      <c r="X178" s="256"/>
      <c r="Y178" s="250" t="s">
        <v>413</v>
      </c>
    </row>
    <row r="179" spans="9:25" ht="33.75" hidden="1">
      <c r="I179" s="18" t="s">
        <v>416</v>
      </c>
      <c r="K179" s="250"/>
      <c r="L179" s="250" t="s">
        <v>417</v>
      </c>
      <c r="M179" s="250"/>
      <c r="N179" s="251" t="s">
        <v>418</v>
      </c>
      <c r="O179" s="250" t="s">
        <v>419</v>
      </c>
      <c r="P179" s="263" t="s">
        <v>420</v>
      </c>
      <c r="Q179" s="264"/>
      <c r="R179" s="264"/>
      <c r="S179" s="264"/>
      <c r="T179" s="264"/>
      <c r="U179" s="263"/>
      <c r="V179" s="263"/>
      <c r="W179" s="267"/>
      <c r="X179" s="267"/>
      <c r="Y179" s="269" t="s">
        <v>423</v>
      </c>
    </row>
    <row r="180" spans="9:25" ht="11.25" hidden="1">
      <c r="I180" s="275" t="s">
        <v>427</v>
      </c>
      <c r="J180" s="275"/>
      <c r="K180" s="275" t="s">
        <v>428</v>
      </c>
      <c r="L180" s="275" t="s">
        <v>52</v>
      </c>
      <c r="M180" s="275" t="s">
        <v>428</v>
      </c>
      <c r="N180" s="276" t="s">
        <v>52</v>
      </c>
      <c r="O180" s="275" t="s">
        <v>429</v>
      </c>
      <c r="P180" s="277" t="s">
        <v>52</v>
      </c>
      <c r="Q180" s="278"/>
      <c r="R180" s="278"/>
      <c r="S180" s="278"/>
      <c r="T180" s="278"/>
      <c r="U180" s="277"/>
      <c r="V180" s="277"/>
      <c r="W180" s="346"/>
      <c r="X180" s="346"/>
      <c r="Y180" s="275" t="s">
        <v>429</v>
      </c>
    </row>
    <row r="181" spans="9:25" ht="11.25" hidden="1">
      <c r="I181" s="283"/>
      <c r="J181" s="283"/>
      <c r="K181" s="283" t="s">
        <v>433</v>
      </c>
      <c r="L181" s="283" t="s">
        <v>433</v>
      </c>
      <c r="M181" s="283" t="s">
        <v>434</v>
      </c>
      <c r="N181" s="287" t="s">
        <v>434</v>
      </c>
      <c r="O181" s="283" t="s">
        <v>434</v>
      </c>
      <c r="P181" s="288" t="s">
        <v>434</v>
      </c>
      <c r="Q181" s="289"/>
      <c r="R181" s="289"/>
      <c r="S181" s="289"/>
      <c r="T181" s="289"/>
      <c r="U181" s="288"/>
      <c r="V181" s="288"/>
      <c r="W181" s="365"/>
      <c r="X181" s="365"/>
      <c r="Y181" s="283" t="s">
        <v>434</v>
      </c>
    </row>
    <row r="182" spans="16:22" ht="11.25" hidden="1">
      <c r="P182" s="409"/>
      <c r="U182" s="409"/>
      <c r="V182" s="409"/>
    </row>
    <row r="183" spans="9:25" ht="11.25" hidden="1">
      <c r="I183" s="18" t="s">
        <v>560</v>
      </c>
      <c r="K183" s="590"/>
      <c r="L183" s="590"/>
      <c r="M183" s="590"/>
      <c r="N183" s="591"/>
      <c r="O183" s="590"/>
      <c r="P183" s="619">
        <f>-'[1]Revised Summary'!$C$66</f>
        <v>0</v>
      </c>
      <c r="Q183" s="620"/>
      <c r="R183" s="620"/>
      <c r="S183" s="620"/>
      <c r="T183" s="620"/>
      <c r="U183" s="619"/>
      <c r="V183" s="619"/>
      <c r="W183" s="621"/>
      <c r="X183" s="621"/>
      <c r="Y183" s="76">
        <f>-'[1]Revised Summary'!$C$66</f>
        <v>0</v>
      </c>
    </row>
    <row r="184" spans="9:25" s="82" customFormat="1" ht="10.5" hidden="1">
      <c r="I184" s="85" t="s">
        <v>561</v>
      </c>
      <c r="J184" s="85"/>
      <c r="K184" s="622">
        <f aca="true" t="shared" si="17" ref="K184:P184">K170+K183</f>
        <v>-130345.33883482362</v>
      </c>
      <c r="L184" s="622">
        <f t="shared" si="17"/>
        <v>-202153.1648359885</v>
      </c>
      <c r="M184" s="622">
        <f t="shared" si="17"/>
        <v>-315056.2267240065</v>
      </c>
      <c r="N184" s="623">
        <f t="shared" si="17"/>
        <v>-304411.5952769099</v>
      </c>
      <c r="O184" s="622">
        <f t="shared" si="17"/>
        <v>-373810.2073399544</v>
      </c>
      <c r="P184" s="624">
        <f t="shared" si="17"/>
        <v>-614974.2358752616</v>
      </c>
      <c r="Q184" s="625"/>
      <c r="R184" s="625"/>
      <c r="S184" s="625"/>
      <c r="T184" s="625"/>
      <c r="U184" s="624"/>
      <c r="V184" s="624"/>
      <c r="W184" s="626"/>
      <c r="X184" s="626"/>
      <c r="Y184" s="622">
        <f>Y170+Y183</f>
        <v>-214940.29785517117</v>
      </c>
    </row>
    <row r="185" spans="16:22" ht="11.25" hidden="1">
      <c r="P185" s="409"/>
      <c r="U185" s="409"/>
      <c r="V185" s="409"/>
    </row>
    <row r="186" spans="11:25" ht="12.75" hidden="1">
      <c r="K186" s="627"/>
      <c r="L186" s="627"/>
      <c r="M186" s="628" t="s">
        <v>562</v>
      </c>
      <c r="N186" s="629"/>
      <c r="O186" s="627"/>
      <c r="P186" s="630">
        <f>460000/250*(P17-N17)</f>
        <v>36800</v>
      </c>
      <c r="Q186" s="631"/>
      <c r="R186" s="631"/>
      <c r="S186" s="631"/>
      <c r="T186" s="631"/>
      <c r="U186" s="630"/>
      <c r="V186" s="630"/>
      <c r="W186" s="632"/>
      <c r="X186" s="632"/>
      <c r="Y186" s="96">
        <f>460000/250*(Y17-O17)</f>
        <v>36800</v>
      </c>
    </row>
    <row r="187" spans="9:22" ht="12.75" hidden="1">
      <c r="I187" s="628"/>
      <c r="J187" s="628"/>
      <c r="K187" s="627"/>
      <c r="L187" s="627"/>
      <c r="M187" s="627"/>
      <c r="N187" s="629"/>
      <c r="O187" s="627"/>
      <c r="P187" s="409"/>
      <c r="U187" s="409"/>
      <c r="V187" s="409"/>
    </row>
    <row r="188" spans="9:25" ht="12.75" hidden="1">
      <c r="I188" s="628"/>
      <c r="J188" s="628"/>
      <c r="K188" s="627"/>
      <c r="L188" s="627"/>
      <c r="M188" s="627"/>
      <c r="N188" s="629"/>
      <c r="O188" s="615" t="s">
        <v>563</v>
      </c>
      <c r="P188" s="624">
        <f>P184+P186</f>
        <v>-578174.2358752616</v>
      </c>
      <c r="Q188" s="625"/>
      <c r="R188" s="625"/>
      <c r="S188" s="625"/>
      <c r="T188" s="625"/>
      <c r="U188" s="624"/>
      <c r="V188" s="624"/>
      <c r="W188" s="626"/>
      <c r="X188" s="626"/>
      <c r="Y188" s="622">
        <f>Y184+Y186</f>
        <v>-178140.29785517117</v>
      </c>
    </row>
    <row r="189" spans="9:15" ht="12.75" hidden="1">
      <c r="I189" s="628"/>
      <c r="J189" s="628"/>
      <c r="K189" s="627"/>
      <c r="L189" s="627"/>
      <c r="M189" s="627"/>
      <c r="N189" s="629"/>
      <c r="O189" s="627"/>
    </row>
    <row r="190" ht="11.25" hidden="1">
      <c r="K190" s="34"/>
    </row>
    <row r="191" ht="11.25" hidden="1">
      <c r="K191" s="34"/>
    </row>
    <row r="192" ht="11.25" hidden="1"/>
    <row r="193" ht="11.25" hidden="1">
      <c r="K193" s="34"/>
    </row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williamro</dc:creator>
  <cp:keywords/>
  <dc:description/>
  <cp:lastModifiedBy>David Layton</cp:lastModifiedBy>
  <cp:lastPrinted>2004-09-13T16:33:41Z</cp:lastPrinted>
  <dcterms:created xsi:type="dcterms:W3CDTF">2004-09-02T19:50:33Z</dcterms:created>
  <dcterms:modified xsi:type="dcterms:W3CDTF">2004-09-13T16:35:12Z</dcterms:modified>
  <cp:category/>
  <cp:version/>
  <cp:contentType/>
  <cp:contentStatus/>
</cp:coreProperties>
</file>