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96" yWindow="555" windowWidth="12120" windowHeight="9120" activeTab="0"/>
  </bookViews>
  <sheets>
    <sheet name="Attachment B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mount_of_Reduction">'[4]CXBook'!#REF!</definedName>
    <definedName name="CX_98_proposed">'[4]CXBook'!#REF!</definedName>
    <definedName name="mbase695">'[5]QryMbase695'!$A$2:$E$84</definedName>
    <definedName name="Percent_of_CX">'[4]CXBook'!#REF!</definedName>
    <definedName name="test">'[1]Allotment Plan'!#REF!</definedName>
  </definedNames>
  <calcPr fullCalcOnLoad="1"/>
</workbook>
</file>

<file path=xl/sharedStrings.xml><?xml version="1.0" encoding="utf-8"?>
<sst xmlns="http://schemas.openxmlformats.org/spreadsheetml/2006/main" count="204" uniqueCount="72">
  <si>
    <t>Jul</t>
  </si>
  <si>
    <t>Aug</t>
  </si>
  <si>
    <t>Sep</t>
  </si>
  <si>
    <t>Oct</t>
  </si>
  <si>
    <t>Nov</t>
  </si>
  <si>
    <t>DEC</t>
  </si>
  <si>
    <t>Total</t>
  </si>
  <si>
    <t>Total plus OH Allocation</t>
  </si>
  <si>
    <t>Avg of Actual Exp</t>
  </si>
  <si>
    <t>Remaining Year Forecast</t>
  </si>
  <si>
    <t>2005 Estimate</t>
  </si>
  <si>
    <t>I. Fund Financial Measures</t>
  </si>
  <si>
    <t>Revenue</t>
  </si>
  <si>
    <t>Expense</t>
  </si>
  <si>
    <t>Net Income</t>
  </si>
  <si>
    <t>Estimated Account Receivable</t>
  </si>
  <si>
    <t>End-of-period cash balance</t>
  </si>
  <si>
    <t>Fund balance</t>
  </si>
  <si>
    <t>Total borrowing</t>
  </si>
  <si>
    <t>Interest expense</t>
  </si>
  <si>
    <t>II. Line-of-Business Measures</t>
  </si>
  <si>
    <t>For County Agencies</t>
  </si>
  <si>
    <t>Print Shop/Copy Center</t>
  </si>
  <si>
    <t>Number of work orders</t>
  </si>
  <si>
    <t>N/A</t>
  </si>
  <si>
    <t>Total # of copies (excludes vol. in boxes)</t>
  </si>
  <si>
    <t>Revenue from agencies</t>
  </si>
  <si>
    <t xml:space="preserve">Graphics  </t>
  </si>
  <si>
    <t>Utilization</t>
  </si>
  <si>
    <t>Pass-Through</t>
  </si>
  <si>
    <t>Net Income (15% markup)</t>
  </si>
  <si>
    <t>Overhead</t>
  </si>
  <si>
    <t>For City of Seattle Agencies (Org 3219)</t>
  </si>
  <si>
    <t>Print Shop</t>
  </si>
  <si>
    <t>Jan - June revenues were based on monthly actual.  The remaining forecast was based on the historical average (2002-2005), except for Photography and Videography.</t>
  </si>
  <si>
    <t>OH allocation</t>
  </si>
  <si>
    <t>Expenditure</t>
  </si>
  <si>
    <t>Revenue forecast for Photography and Videography assume 100% direct cost (labor, supplies) recovery.</t>
  </si>
  <si>
    <t>Pass-through revenue forecast was derived by the monthly 06 allotment * 115%.</t>
  </si>
  <si>
    <t>Including outstanding payment corrections could result in additional revenue as much as 109,000.</t>
  </si>
  <si>
    <t>Admin OH costs were allocated only to Graphics, PrintShop, and SMT based on OH expenditure amount after substracting 15% fee from Pass-through (Pass-through admin charges are used to reduce the admin OH)</t>
  </si>
  <si>
    <t>Other Notes:</t>
  </si>
  <si>
    <t>*</t>
  </si>
  <si>
    <t>Expenditure was based on Jan - June monthly actual, and also any past due outstanding invoices that should have been cleared.  They are expected to be paid in July.  The remaining forecast was based on average 1/12 expenditure after deferring some expendi</t>
  </si>
  <si>
    <t>Estimated Past Due Outstanding Invoices that will be cleared in July</t>
  </si>
  <si>
    <t>Payment due in</t>
  </si>
  <si>
    <t>January</t>
  </si>
  <si>
    <t>February</t>
  </si>
  <si>
    <t>March</t>
  </si>
  <si>
    <t>April</t>
  </si>
  <si>
    <t>May</t>
  </si>
  <si>
    <t>June</t>
  </si>
  <si>
    <t>The following expenses are deferred until December:</t>
  </si>
  <si>
    <t>Finance Central Rates</t>
  </si>
  <si>
    <t>ITS administrative charges</t>
  </si>
  <si>
    <t>Graybar Lease through FMD</t>
  </si>
  <si>
    <t>SMT space and equipment lease</t>
  </si>
  <si>
    <t>Total Deferred</t>
  </si>
  <si>
    <t>The deferred expenditure was adjusted based on the YTD 2006 actual.</t>
  </si>
  <si>
    <t>There were recording delays in January and February due to the accounting system conversion.  The problems were resolved in March.</t>
  </si>
  <si>
    <t>**</t>
  </si>
  <si>
    <t>The transfer to DES ER ($14,495) will be made in December 2006 (original schedule 04/06).</t>
  </si>
  <si>
    <r>
      <t xml:space="preserve">Jan  </t>
    </r>
    <r>
      <rPr>
        <b/>
        <vertAlign val="superscript"/>
        <sz val="9"/>
        <rFont val="Verdana"/>
        <family val="2"/>
      </rPr>
      <t>1</t>
    </r>
  </si>
  <si>
    <r>
      <t xml:space="preserve">Feb </t>
    </r>
    <r>
      <rPr>
        <b/>
        <vertAlign val="superscript"/>
        <sz val="9"/>
        <rFont val="Verdana"/>
        <family val="2"/>
      </rPr>
      <t>1</t>
    </r>
  </si>
  <si>
    <r>
      <t xml:space="preserve">Mar  </t>
    </r>
    <r>
      <rPr>
        <b/>
        <vertAlign val="superscript"/>
        <sz val="9"/>
        <rFont val="Verdana"/>
        <family val="2"/>
      </rPr>
      <t>1</t>
    </r>
  </si>
  <si>
    <r>
      <t xml:space="preserve">Apr </t>
    </r>
    <r>
      <rPr>
        <b/>
        <vertAlign val="superscript"/>
        <sz val="9"/>
        <rFont val="Verdana"/>
        <family val="2"/>
      </rPr>
      <t>1</t>
    </r>
  </si>
  <si>
    <r>
      <t xml:space="preserve">May </t>
    </r>
    <r>
      <rPr>
        <b/>
        <vertAlign val="superscript"/>
        <sz val="9"/>
        <rFont val="Verdana"/>
        <family val="2"/>
      </rPr>
      <t>1</t>
    </r>
  </si>
  <si>
    <r>
      <t xml:space="preserve">Jun </t>
    </r>
    <r>
      <rPr>
        <b/>
        <vertAlign val="superscript"/>
        <sz val="9"/>
        <rFont val="Verdana"/>
        <family val="2"/>
      </rPr>
      <t>1</t>
    </r>
  </si>
  <si>
    <r>
      <t xml:space="preserve">OH Allocation </t>
    </r>
    <r>
      <rPr>
        <b/>
        <vertAlign val="superscript"/>
        <sz val="9"/>
        <rFont val="Verdana"/>
        <family val="2"/>
      </rPr>
      <t>4</t>
    </r>
  </si>
  <si>
    <r>
      <t xml:space="preserve">Photography </t>
    </r>
    <r>
      <rPr>
        <vertAlign val="superscript"/>
        <sz val="9"/>
        <rFont val="Verdana"/>
        <family val="2"/>
      </rPr>
      <t xml:space="preserve"> 2</t>
    </r>
  </si>
  <si>
    <r>
      <t xml:space="preserve">Videography  </t>
    </r>
    <r>
      <rPr>
        <vertAlign val="superscript"/>
        <sz val="9"/>
        <rFont val="Verdana"/>
        <family val="2"/>
      </rPr>
      <t>2</t>
    </r>
  </si>
  <si>
    <r>
      <t xml:space="preserve">Revenue from agencies  </t>
    </r>
    <r>
      <rPr>
        <vertAlign val="superscript"/>
        <sz val="9"/>
        <rFont val="Verdana"/>
        <family val="2"/>
      </rPr>
      <t>3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</si>
</sst>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&quot;$&quot;#,##0.0_);\(&quot;$&quot;#,##0.0\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0000_);[Red]\(#,##0.0000000000\)"/>
    <numFmt numFmtId="173" formatCode="_(* #,##0.0000_);_(* \(#,##0.0000\);_(* &quot;-&quot;????_);_(@_)"/>
    <numFmt numFmtId="174" formatCode="0.000"/>
    <numFmt numFmtId="175" formatCode="0.0"/>
    <numFmt numFmtId="176" formatCode="_(* #,##0.0_);_(* \(#,##0.0\);_(* &quot;-&quot;?_);_(@_)"/>
    <numFmt numFmtId="177" formatCode="_(* #,##0.000_);_(* \(#,##0.000\);_(* &quot;-&quot;??_);_(@_)"/>
    <numFmt numFmtId="178" formatCode="&quot;$&quot;#,##0"/>
    <numFmt numFmtId="179" formatCode="&quot;$&quot;#,##0.000_);[Red]\(&quot;$&quot;#,##0.0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%"/>
    <numFmt numFmtId="183" formatCode="0.000000000000000%"/>
    <numFmt numFmtId="184" formatCode="m/d/yyyy&quot;  &quot;h\:mm\:ss\ AM/PM"/>
    <numFmt numFmtId="185" formatCode="General_)"/>
    <numFmt numFmtId="186" formatCode="#,##0.0_);[Red]\(#,##0.0\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#,##0;[Red]\(#,##0\);0"/>
    <numFmt numFmtId="191" formatCode="0;[Red]0"/>
    <numFmt numFmtId="192" formatCode="_(* #,##0.000_);_(* \(#,##0.000\);_(* &quot;-&quot;???_);_(@_)"/>
  </numFmts>
  <fonts count="1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b/>
      <vertAlign val="superscript"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9"/>
      <color indexed="10"/>
      <name val="Verdana"/>
      <family val="2"/>
    </font>
    <font>
      <sz val="8"/>
      <name val="Verdana"/>
      <family val="2"/>
    </font>
    <font>
      <vertAlign val="superscript"/>
      <sz val="9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8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38" fontId="5" fillId="0" borderId="1" xfId="0" applyNumberFormat="1" applyFont="1" applyBorder="1" applyAlignment="1">
      <alignment horizontal="center" vertical="center" wrapText="1"/>
    </xf>
    <xf numFmtId="38" fontId="5" fillId="0" borderId="2" xfId="0" applyNumberFormat="1" applyFont="1" applyBorder="1" applyAlignment="1">
      <alignment horizontal="center" vertical="center" wrapText="1"/>
    </xf>
    <xf numFmtId="38" fontId="6" fillId="0" borderId="2" xfId="0" applyNumberFormat="1" applyFont="1" applyBorder="1" applyAlignment="1">
      <alignment horizontal="center" vertical="center" wrapText="1"/>
    </xf>
    <xf numFmtId="38" fontId="5" fillId="2" borderId="3" xfId="15" applyNumberFormat="1" applyFont="1" applyFill="1" applyBorder="1" applyAlignment="1" quotePrefix="1">
      <alignment horizontal="center" vertical="center" wrapText="1"/>
    </xf>
    <xf numFmtId="38" fontId="5" fillId="2" borderId="3" xfId="15" applyNumberFormat="1" applyFont="1" applyFill="1" applyBorder="1" applyAlignment="1">
      <alignment horizontal="center" vertical="center" wrapText="1"/>
    </xf>
    <xf numFmtId="38" fontId="5" fillId="2" borderId="3" xfId="0" applyNumberFormat="1" applyFont="1" applyFill="1" applyBorder="1" applyAlignment="1">
      <alignment horizontal="center" vertical="center" wrapText="1"/>
    </xf>
    <xf numFmtId="38" fontId="5" fillId="2" borderId="3" xfId="0" applyNumberFormat="1" applyFont="1" applyFill="1" applyBorder="1" applyAlignment="1" quotePrefix="1">
      <alignment horizontal="center" vertical="center" wrapText="1"/>
    </xf>
    <xf numFmtId="38" fontId="5" fillId="2" borderId="1" xfId="0" applyNumberFormat="1" applyFont="1" applyFill="1" applyBorder="1" applyAlignment="1">
      <alignment horizontal="center" vertical="center" wrapText="1"/>
    </xf>
    <xf numFmtId="38" fontId="5" fillId="2" borderId="2" xfId="0" applyNumberFormat="1" applyFont="1" applyFill="1" applyBorder="1" applyAlignment="1">
      <alignment horizontal="center" vertical="center" wrapText="1"/>
    </xf>
    <xf numFmtId="38" fontId="5" fillId="3" borderId="3" xfId="0" applyNumberFormat="1" applyFont="1" applyFill="1" applyBorder="1" applyAlignment="1">
      <alignment horizontal="center" vertical="center" wrapText="1"/>
    </xf>
    <xf numFmtId="38" fontId="6" fillId="0" borderId="0" xfId="0" applyNumberFormat="1" applyFont="1" applyAlignment="1">
      <alignment horizontal="center" vertical="center" wrapText="1"/>
    </xf>
    <xf numFmtId="43" fontId="6" fillId="0" borderId="0" xfId="15" applyFont="1" applyAlignment="1">
      <alignment horizontal="center" vertical="center" wrapText="1"/>
    </xf>
    <xf numFmtId="38" fontId="5" fillId="0" borderId="0" xfId="0" applyNumberFormat="1" applyFont="1" applyAlignment="1">
      <alignment/>
    </xf>
    <xf numFmtId="38" fontId="8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38" fontId="8" fillId="0" borderId="4" xfId="15" applyNumberFormat="1" applyFont="1" applyBorder="1" applyAlignment="1">
      <alignment/>
    </xf>
    <xf numFmtId="38" fontId="8" fillId="0" borderId="0" xfId="15" applyNumberFormat="1" applyFont="1" applyAlignment="1">
      <alignment/>
    </xf>
    <xf numFmtId="38" fontId="8" fillId="0" borderId="0" xfId="0" applyNumberFormat="1" applyFont="1" applyBorder="1" applyAlignment="1">
      <alignment/>
    </xf>
    <xf numFmtId="38" fontId="8" fillId="2" borderId="5" xfId="0" applyNumberFormat="1" applyFont="1" applyFill="1" applyBorder="1" applyAlignment="1">
      <alignment/>
    </xf>
    <xf numFmtId="38" fontId="8" fillId="3" borderId="5" xfId="0" applyNumberFormat="1" applyFont="1" applyFill="1" applyBorder="1" applyAlignment="1">
      <alignment/>
    </xf>
    <xf numFmtId="43" fontId="9" fillId="0" borderId="0" xfId="15" applyFont="1" applyAlignment="1">
      <alignment/>
    </xf>
    <xf numFmtId="38" fontId="8" fillId="0" borderId="3" xfId="15" applyNumberFormat="1" applyFont="1" applyBorder="1" applyAlignment="1">
      <alignment/>
    </xf>
    <xf numFmtId="38" fontId="8" fillId="2" borderId="3" xfId="0" applyNumberFormat="1" applyFont="1" applyFill="1" applyBorder="1" applyAlignment="1">
      <alignment/>
    </xf>
    <xf numFmtId="38" fontId="8" fillId="0" borderId="2" xfId="15" applyNumberFormat="1" applyFont="1" applyBorder="1" applyAlignment="1">
      <alignment/>
    </xf>
    <xf numFmtId="38" fontId="8" fillId="3" borderId="3" xfId="15" applyNumberFormat="1" applyFont="1" applyFill="1" applyBorder="1" applyAlignment="1">
      <alignment/>
    </xf>
    <xf numFmtId="38" fontId="8" fillId="0" borderId="6" xfId="15" applyNumberFormat="1" applyFont="1" applyBorder="1" applyAlignment="1">
      <alignment/>
    </xf>
    <xf numFmtId="38" fontId="9" fillId="4" borderId="3" xfId="15" applyNumberFormat="1" applyFont="1" applyFill="1" applyBorder="1" applyAlignment="1">
      <alignment/>
    </xf>
    <xf numFmtId="38" fontId="8" fillId="0" borderId="7" xfId="15" applyNumberFormat="1" applyFont="1" applyBorder="1" applyAlignment="1">
      <alignment/>
    </xf>
    <xf numFmtId="38" fontId="8" fillId="2" borderId="7" xfId="0" applyNumberFormat="1" applyFont="1" applyFill="1" applyBorder="1" applyAlignment="1">
      <alignment/>
    </xf>
    <xf numFmtId="38" fontId="8" fillId="0" borderId="8" xfId="15" applyNumberFormat="1" applyFont="1" applyBorder="1" applyAlignment="1">
      <alignment/>
    </xf>
    <xf numFmtId="38" fontId="8" fillId="3" borderId="7" xfId="15" applyNumberFormat="1" applyFont="1" applyFill="1" applyBorder="1" applyAlignment="1">
      <alignment/>
    </xf>
    <xf numFmtId="38" fontId="9" fillId="0" borderId="9" xfId="0" applyNumberFormat="1" applyFont="1" applyBorder="1" applyAlignment="1">
      <alignment/>
    </xf>
    <xf numFmtId="38" fontId="8" fillId="0" borderId="10" xfId="15" applyNumberFormat="1" applyFont="1" applyBorder="1" applyAlignment="1">
      <alignment/>
    </xf>
    <xf numFmtId="38" fontId="8" fillId="2" borderId="10" xfId="0" applyNumberFormat="1" applyFont="1" applyFill="1" applyBorder="1" applyAlignment="1">
      <alignment/>
    </xf>
    <xf numFmtId="38" fontId="8" fillId="0" borderId="11" xfId="15" applyNumberFormat="1" applyFont="1" applyBorder="1" applyAlignment="1">
      <alignment/>
    </xf>
    <xf numFmtId="38" fontId="8" fillId="3" borderId="10" xfId="15" applyNumberFormat="1" applyFont="1" applyFill="1" applyBorder="1" applyAlignment="1">
      <alignment/>
    </xf>
    <xf numFmtId="38" fontId="8" fillId="4" borderId="3" xfId="15" applyNumberFormat="1" applyFont="1" applyFill="1" applyBorder="1" applyAlignment="1">
      <alignment/>
    </xf>
    <xf numFmtId="164" fontId="10" fillId="0" borderId="3" xfId="15" applyNumberFormat="1" applyFont="1" applyBorder="1" applyAlignment="1">
      <alignment/>
    </xf>
    <xf numFmtId="38" fontId="8" fillId="0" borderId="2" xfId="0" applyNumberFormat="1" applyFont="1" applyBorder="1" applyAlignment="1">
      <alignment/>
    </xf>
    <xf numFmtId="38" fontId="8" fillId="3" borderId="3" xfId="0" applyNumberFormat="1" applyFont="1" applyFill="1" applyBorder="1" applyAlignment="1">
      <alignment/>
    </xf>
    <xf numFmtId="38" fontId="8" fillId="0" borderId="6" xfId="0" applyNumberFormat="1" applyFont="1" applyBorder="1" applyAlignment="1">
      <alignment/>
    </xf>
    <xf numFmtId="38" fontId="8" fillId="0" borderId="2" xfId="15" applyNumberFormat="1" applyFont="1" applyBorder="1" applyAlignment="1">
      <alignment horizontal="center"/>
    </xf>
    <xf numFmtId="38" fontId="8" fillId="3" borderId="3" xfId="15" applyNumberFormat="1" applyFont="1" applyFill="1" applyBorder="1" applyAlignment="1">
      <alignment horizontal="right"/>
    </xf>
    <xf numFmtId="38" fontId="8" fillId="0" borderId="6" xfId="15" applyNumberFormat="1" applyFont="1" applyBorder="1" applyAlignment="1">
      <alignment horizontal="center"/>
    </xf>
    <xf numFmtId="38" fontId="8" fillId="0" borderId="0" xfId="15" applyNumberFormat="1" applyFont="1" applyBorder="1" applyAlignment="1">
      <alignment/>
    </xf>
    <xf numFmtId="38" fontId="9" fillId="4" borderId="0" xfId="15" applyNumberFormat="1" applyFont="1" applyFill="1" applyBorder="1" applyAlignment="1">
      <alignment/>
    </xf>
    <xf numFmtId="38" fontId="5" fillId="0" borderId="4" xfId="15" applyNumberFormat="1" applyFont="1" applyBorder="1" applyAlignment="1">
      <alignment horizontal="center" vertical="center" wrapText="1"/>
    </xf>
    <xf numFmtId="38" fontId="5" fillId="0" borderId="0" xfId="15" applyNumberFormat="1" applyFont="1" applyAlignment="1">
      <alignment horizontal="center" vertical="center" wrapText="1"/>
    </xf>
    <xf numFmtId="38" fontId="5" fillId="0" borderId="0" xfId="0" applyNumberFormat="1" applyFont="1" applyAlignment="1">
      <alignment horizontal="center" vertical="center" wrapText="1"/>
    </xf>
    <xf numFmtId="38" fontId="5" fillId="0" borderId="0" xfId="0" applyNumberFormat="1" applyFont="1" applyBorder="1" applyAlignment="1">
      <alignment horizontal="center" vertical="center" wrapText="1"/>
    </xf>
    <xf numFmtId="38" fontId="8" fillId="2" borderId="5" xfId="0" applyNumberFormat="1" applyFont="1" applyFill="1" applyBorder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 wrapText="1"/>
    </xf>
    <xf numFmtId="38" fontId="8" fillId="3" borderId="5" xfId="0" applyNumberFormat="1" applyFont="1" applyFill="1" applyBorder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38" fontId="8" fillId="0" borderId="4" xfId="21" applyNumberFormat="1" applyFont="1" applyBorder="1" applyAlignment="1">
      <alignment/>
    </xf>
    <xf numFmtId="38" fontId="8" fillId="0" borderId="3" xfId="15" applyNumberFormat="1" applyFont="1" applyBorder="1" applyAlignment="1">
      <alignment horizontal="center"/>
    </xf>
    <xf numFmtId="38" fontId="8" fillId="2" borderId="3" xfId="15" applyNumberFormat="1" applyFont="1" applyFill="1" applyBorder="1" applyAlignment="1">
      <alignment horizontal="center"/>
    </xf>
    <xf numFmtId="38" fontId="8" fillId="0" borderId="8" xfId="0" applyNumberFormat="1" applyFont="1" applyBorder="1" applyAlignment="1">
      <alignment/>
    </xf>
    <xf numFmtId="38" fontId="8" fillId="3" borderId="7" xfId="0" applyNumberFormat="1" applyFont="1" applyFill="1" applyBorder="1" applyAlignment="1">
      <alignment/>
    </xf>
    <xf numFmtId="38" fontId="8" fillId="0" borderId="12" xfId="0" applyNumberFormat="1" applyFont="1" applyBorder="1" applyAlignment="1">
      <alignment/>
    </xf>
    <xf numFmtId="38" fontId="8" fillId="0" borderId="11" xfId="0" applyNumberFormat="1" applyFont="1" applyBorder="1" applyAlignment="1">
      <alignment/>
    </xf>
    <xf numFmtId="38" fontId="8" fillId="3" borderId="10" xfId="0" applyNumberFormat="1" applyFont="1" applyFill="1" applyBorder="1" applyAlignment="1">
      <alignment/>
    </xf>
    <xf numFmtId="38" fontId="8" fillId="0" borderId="13" xfId="0" applyNumberFormat="1" applyFont="1" applyBorder="1" applyAlignment="1">
      <alignment/>
    </xf>
    <xf numFmtId="38" fontId="8" fillId="0" borderId="2" xfId="21" applyNumberFormat="1" applyFont="1" applyBorder="1" applyAlignment="1">
      <alignment/>
    </xf>
    <xf numFmtId="38" fontId="8" fillId="3" borderId="3" xfId="21" applyNumberFormat="1" applyFont="1" applyFill="1" applyBorder="1" applyAlignment="1">
      <alignment/>
    </xf>
    <xf numFmtId="38" fontId="8" fillId="0" borderId="6" xfId="21" applyNumberFormat="1" applyFont="1" applyBorder="1" applyAlignment="1">
      <alignment horizontal="center"/>
    </xf>
    <xf numFmtId="38" fontId="10" fillId="0" borderId="0" xfId="15" applyNumberFormat="1" applyFont="1" applyBorder="1" applyAlignment="1">
      <alignment/>
    </xf>
    <xf numFmtId="38" fontId="8" fillId="0" borderId="3" xfId="0" applyNumberFormat="1" applyFont="1" applyBorder="1" applyAlignment="1">
      <alignment/>
    </xf>
    <xf numFmtId="38" fontId="8" fillId="3" borderId="14" xfId="0" applyNumberFormat="1" applyFont="1" applyFill="1" applyBorder="1" applyAlignment="1">
      <alignment/>
    </xf>
    <xf numFmtId="38" fontId="5" fillId="0" borderId="0" xfId="0" applyNumberFormat="1" applyFont="1" applyAlignment="1">
      <alignment horizontal="right"/>
    </xf>
    <xf numFmtId="38" fontId="8" fillId="0" borderId="0" xfId="0" applyNumberFormat="1" applyFont="1" applyAlignment="1">
      <alignment horizontal="right"/>
    </xf>
    <xf numFmtId="38" fontId="8" fillId="0" borderId="0" xfId="0" applyNumberFormat="1" applyFont="1" applyAlignment="1">
      <alignment horizontal="left"/>
    </xf>
    <xf numFmtId="38" fontId="9" fillId="0" borderId="0" xfId="0" applyNumberFormat="1" applyFont="1" applyAlignment="1">
      <alignment horizontal="right"/>
    </xf>
    <xf numFmtId="38" fontId="8" fillId="0" borderId="3" xfId="15" applyNumberFormat="1" applyFont="1" applyBorder="1" applyAlignment="1">
      <alignment horizontal="right"/>
    </xf>
    <xf numFmtId="38" fontId="8" fillId="0" borderId="0" xfId="0" applyNumberFormat="1" applyFont="1" applyBorder="1" applyAlignment="1">
      <alignment horizontal="right"/>
    </xf>
    <xf numFmtId="38" fontId="8" fillId="2" borderId="3" xfId="15" applyNumberFormat="1" applyFont="1" applyFill="1" applyBorder="1" applyAlignment="1">
      <alignment horizontal="right"/>
    </xf>
    <xf numFmtId="38" fontId="8" fillId="0" borderId="2" xfId="15" applyNumberFormat="1" applyFont="1" applyBorder="1" applyAlignment="1">
      <alignment horizontal="right"/>
    </xf>
    <xf numFmtId="38" fontId="8" fillId="0" borderId="6" xfId="15" applyNumberFormat="1" applyFont="1" applyBorder="1" applyAlignment="1">
      <alignment horizontal="right"/>
    </xf>
    <xf numFmtId="43" fontId="9" fillId="0" borderId="0" xfId="15" applyFont="1" applyAlignment="1">
      <alignment horizontal="right"/>
    </xf>
    <xf numFmtId="43" fontId="13" fillId="0" borderId="0" xfId="15" applyFont="1" applyAlignment="1">
      <alignment/>
    </xf>
    <xf numFmtId="38" fontId="9" fillId="0" borderId="0" xfId="0" applyNumberFormat="1" applyFont="1" applyBorder="1" applyAlignment="1">
      <alignment/>
    </xf>
    <xf numFmtId="43" fontId="9" fillId="4" borderId="0" xfId="15" applyFont="1" applyFill="1" applyBorder="1" applyAlignment="1">
      <alignment/>
    </xf>
    <xf numFmtId="38" fontId="12" fillId="0" borderId="0" xfId="0" applyNumberFormat="1" applyFont="1" applyAlignment="1">
      <alignment/>
    </xf>
    <xf numFmtId="38" fontId="11" fillId="0" borderId="0" xfId="0" applyNumberFormat="1" applyFont="1" applyAlignment="1">
      <alignment/>
    </xf>
    <xf numFmtId="38" fontId="11" fillId="0" borderId="0" xfId="15" applyNumberFormat="1" applyFont="1" applyAlignment="1">
      <alignment/>
    </xf>
    <xf numFmtId="38" fontId="6" fillId="0" borderId="0" xfId="0" applyNumberFormat="1" applyFont="1" applyAlignment="1">
      <alignment/>
    </xf>
    <xf numFmtId="38" fontId="13" fillId="4" borderId="0" xfId="0" applyNumberFormat="1" applyFont="1" applyFill="1" applyBorder="1" applyAlignment="1">
      <alignment/>
    </xf>
    <xf numFmtId="38" fontId="9" fillId="4" borderId="0" xfId="0" applyNumberFormat="1" applyFont="1" applyFill="1" applyBorder="1" applyAlignment="1">
      <alignment/>
    </xf>
    <xf numFmtId="43" fontId="13" fillId="4" borderId="0" xfId="15" applyFont="1" applyFill="1" applyBorder="1" applyAlignment="1">
      <alignment/>
    </xf>
    <xf numFmtId="38" fontId="13" fillId="0" borderId="0" xfId="0" applyNumberFormat="1" applyFont="1" applyAlignment="1">
      <alignment/>
    </xf>
    <xf numFmtId="38" fontId="14" fillId="0" borderId="0" xfId="0" applyNumberFormat="1" applyFont="1" applyAlignment="1">
      <alignment/>
    </xf>
    <xf numFmtId="38" fontId="13" fillId="4" borderId="0" xfId="15" applyNumberFormat="1" applyFont="1" applyFill="1" applyBorder="1" applyAlignment="1">
      <alignment/>
    </xf>
    <xf numFmtId="9" fontId="13" fillId="4" borderId="0" xfId="21" applyFont="1" applyFill="1" applyBorder="1" applyAlignment="1">
      <alignment/>
    </xf>
    <xf numFmtId="38" fontId="11" fillId="0" borderId="0" xfId="0" applyNumberFormat="1" applyFont="1" applyAlignment="1">
      <alignment horizontal="left" wrapText="1"/>
    </xf>
    <xf numFmtId="38" fontId="4" fillId="0" borderId="0" xfId="0" applyNumberFormat="1" applyFont="1" applyAlignment="1">
      <alignment wrapText="1"/>
    </xf>
    <xf numFmtId="38" fontId="9" fillId="0" borderId="0" xfId="21" applyNumberFormat="1" applyFont="1" applyBorder="1" applyAlignment="1">
      <alignment/>
    </xf>
    <xf numFmtId="38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64" fontId="8" fillId="0" borderId="0" xfId="15" applyNumberFormat="1" applyFont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10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64" fontId="11" fillId="0" borderId="0" xfId="15" applyNumberFormat="1" applyFont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Alignment="1">
      <alignment/>
    </xf>
    <xf numFmtId="10" fontId="14" fillId="0" borderId="0" xfId="0" applyNumberFormat="1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Border="1" applyAlignment="1" quotePrefix="1">
      <alignment/>
    </xf>
    <xf numFmtId="43" fontId="11" fillId="0" borderId="0" xfId="15" applyFont="1" applyFill="1" applyBorder="1" applyAlignment="1">
      <alignment/>
    </xf>
    <xf numFmtId="0" fontId="11" fillId="0" borderId="11" xfId="0" applyFont="1" applyFill="1" applyBorder="1" applyAlignment="1" quotePrefix="1">
      <alignment/>
    </xf>
    <xf numFmtId="43" fontId="11" fillId="0" borderId="11" xfId="15" applyFont="1" applyFill="1" applyBorder="1" applyAlignment="1">
      <alignment/>
    </xf>
    <xf numFmtId="43" fontId="11" fillId="0" borderId="0" xfId="15" applyFont="1" applyAlignment="1">
      <alignment/>
    </xf>
    <xf numFmtId="38" fontId="16" fillId="0" borderId="0" xfId="0" applyNumberFormat="1" applyFont="1" applyAlignment="1">
      <alignment/>
    </xf>
    <xf numFmtId="38" fontId="16" fillId="4" borderId="0" xfId="0" applyNumberFormat="1" applyFont="1" applyFill="1" applyAlignment="1">
      <alignment/>
    </xf>
    <xf numFmtId="38" fontId="13" fillId="4" borderId="0" xfId="0" applyNumberFormat="1" applyFont="1" applyFill="1" applyAlignment="1">
      <alignment/>
    </xf>
    <xf numFmtId="9" fontId="13" fillId="4" borderId="0" xfId="21" applyFont="1" applyFill="1" applyAlignment="1">
      <alignment/>
    </xf>
    <xf numFmtId="38" fontId="11" fillId="0" borderId="0" xfId="0" applyNumberFormat="1" applyFont="1" applyAlignment="1">
      <alignment horizontal="left" indent="1"/>
    </xf>
    <xf numFmtId="38" fontId="11" fillId="0" borderId="0" xfId="0" applyNumberFormat="1" applyFont="1" applyBorder="1" applyAlignment="1">
      <alignment horizontal="left"/>
    </xf>
    <xf numFmtId="38" fontId="9" fillId="4" borderId="0" xfId="0" applyNumberFormat="1" applyFont="1" applyFill="1" applyAlignment="1">
      <alignment/>
    </xf>
    <xf numFmtId="38" fontId="11" fillId="0" borderId="0" xfId="0" applyNumberFormat="1" applyFont="1" applyBorder="1" applyAlignment="1">
      <alignment horizontal="left" indent="1"/>
    </xf>
    <xf numFmtId="38" fontId="11" fillId="0" borderId="0" xfId="15" applyNumberFormat="1" applyFont="1" applyBorder="1" applyAlignment="1">
      <alignment/>
    </xf>
    <xf numFmtId="38" fontId="11" fillId="0" borderId="11" xfId="0" applyNumberFormat="1" applyFont="1" applyBorder="1" applyAlignment="1">
      <alignment horizontal="left" indent="1"/>
    </xf>
    <xf numFmtId="38" fontId="11" fillId="0" borderId="11" xfId="0" applyNumberFormat="1" applyFont="1" applyBorder="1" applyAlignment="1">
      <alignment/>
    </xf>
    <xf numFmtId="38" fontId="11" fillId="0" borderId="11" xfId="15" applyNumberFormat="1" applyFont="1" applyBorder="1" applyAlignment="1">
      <alignment/>
    </xf>
    <xf numFmtId="38" fontId="6" fillId="0" borderId="11" xfId="0" applyNumberFormat="1" applyFont="1" applyBorder="1" applyAlignment="1">
      <alignment horizontal="right"/>
    </xf>
    <xf numFmtId="38" fontId="6" fillId="0" borderId="11" xfId="0" applyNumberFormat="1" applyFont="1" applyBorder="1" applyAlignment="1">
      <alignment/>
    </xf>
    <xf numFmtId="38" fontId="6" fillId="0" borderId="11" xfId="15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38" fontId="6" fillId="0" borderId="0" xfId="15" applyNumberFormat="1" applyFont="1" applyBorder="1" applyAlignment="1">
      <alignment/>
    </xf>
    <xf numFmtId="38" fontId="5" fillId="0" borderId="0" xfId="0" applyNumberFormat="1" applyFont="1" applyAlignment="1">
      <alignment horizontal="left" vertical="center" wrapText="1"/>
    </xf>
    <xf numFmtId="38" fontId="0" fillId="0" borderId="0" xfId="0" applyNumberFormat="1" applyAlignment="1">
      <alignment vertical="center" wrapText="1"/>
    </xf>
    <xf numFmtId="38" fontId="11" fillId="0" borderId="0" xfId="0" applyNumberFormat="1" applyFont="1" applyAlignment="1">
      <alignment horizontal="left" wrapText="1"/>
    </xf>
    <xf numFmtId="38" fontId="4" fillId="0" borderId="0" xfId="0" applyNumberFormat="1" applyFont="1" applyAlignment="1">
      <alignment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amp;GA%20Business%20Study\2006\June\June%20PGA%20Performance%20Report%20incl.%20outstanding%20pm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&amp;GA%20Business%20Study\Monthly%20Report\PG&amp;A%20DECEMBER%20MMR%2012312005%2013thmo%20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ouc\Local%20Settings\Temporary%20Internet%20Files\OLK70\Financia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PER\TABLES\LOTUS\Prop99\EXPTB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PER\Budget2000\I-695%20Budget\I695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Attachment B"/>
      <sheetName val="OH Allocation"/>
      <sheetName val="Attachment C"/>
      <sheetName val="Perfomance Details"/>
      <sheetName val="Allotment Plan"/>
      <sheetName val="Attachment D2"/>
      <sheetName val="Correction entries"/>
      <sheetName val="Attachment D"/>
    </sheetNames>
    <sheetDataSet>
      <sheetData sheetId="0">
        <row r="27">
          <cell r="D27">
            <v>-531520.5700000003</v>
          </cell>
        </row>
        <row r="43">
          <cell r="C43">
            <v>-80481.07333333336</v>
          </cell>
        </row>
      </sheetData>
      <sheetData sheetId="4">
        <row r="8">
          <cell r="D8">
            <v>3397.7999999999956</v>
          </cell>
          <cell r="E8">
            <v>231917.06</v>
          </cell>
          <cell r="F8">
            <v>4089.5</v>
          </cell>
          <cell r="G8">
            <v>145992.41999999998</v>
          </cell>
          <cell r="H8">
            <v>-10951.11</v>
          </cell>
        </row>
        <row r="9">
          <cell r="D9">
            <v>-0.01999999999679858</v>
          </cell>
          <cell r="E9">
            <v>87984.67</v>
          </cell>
          <cell r="F9">
            <v>73240.31</v>
          </cell>
          <cell r="G9">
            <v>78180.75</v>
          </cell>
          <cell r="H9">
            <v>95488.92</v>
          </cell>
        </row>
        <row r="10">
          <cell r="E10">
            <v>33968.520000000004</v>
          </cell>
          <cell r="F10">
            <v>16718.25</v>
          </cell>
          <cell r="G10">
            <v>7967.1</v>
          </cell>
          <cell r="H10">
            <v>29504.11</v>
          </cell>
        </row>
        <row r="11">
          <cell r="D11">
            <v>36171.56</v>
          </cell>
          <cell r="E11">
            <v>2999.5</v>
          </cell>
          <cell r="F11">
            <v>45959.64000000001</v>
          </cell>
          <cell r="G11">
            <v>61218.21000000001</v>
          </cell>
          <cell r="H11">
            <v>21169.92</v>
          </cell>
        </row>
        <row r="12">
          <cell r="D12">
            <v>17519.89</v>
          </cell>
          <cell r="E12">
            <v>14975.43</v>
          </cell>
          <cell r="F12">
            <v>7756</v>
          </cell>
          <cell r="G12">
            <v>147.83</v>
          </cell>
          <cell r="H12">
            <v>11895.18</v>
          </cell>
        </row>
        <row r="13">
          <cell r="D13">
            <v>4314.07</v>
          </cell>
          <cell r="E13">
            <v>5544.57</v>
          </cell>
          <cell r="F13">
            <v>2905.32</v>
          </cell>
          <cell r="G13">
            <v>5642.28</v>
          </cell>
          <cell r="H13">
            <v>11251.45</v>
          </cell>
        </row>
        <row r="14">
          <cell r="D14">
            <v>7742.82</v>
          </cell>
          <cell r="E14">
            <v>64883.01</v>
          </cell>
          <cell r="F14">
            <v>89757.34</v>
          </cell>
          <cell r="G14">
            <v>57892.53</v>
          </cell>
          <cell r="H14">
            <v>71334.09</v>
          </cell>
        </row>
        <row r="15">
          <cell r="D15">
            <v>-1643.2</v>
          </cell>
          <cell r="E15">
            <v>-1892.25</v>
          </cell>
          <cell r="F15">
            <v>-2077.35</v>
          </cell>
          <cell r="H15">
            <v>-4710.97</v>
          </cell>
        </row>
        <row r="23">
          <cell r="C23">
            <v>65382.76000000001</v>
          </cell>
          <cell r="D23">
            <v>93439.18000000001</v>
          </cell>
          <cell r="E23">
            <v>261040.31999999998</v>
          </cell>
          <cell r="F23">
            <v>173993.50999999998</v>
          </cell>
          <cell r="G23">
            <v>270723.72000000003</v>
          </cell>
          <cell r="H23">
            <v>115702.68000000001</v>
          </cell>
        </row>
        <row r="24">
          <cell r="D24">
            <v>4489.95</v>
          </cell>
          <cell r="E24">
            <v>4489.95</v>
          </cell>
          <cell r="F24">
            <v>4489.95</v>
          </cell>
          <cell r="G24">
            <v>4489.95</v>
          </cell>
          <cell r="H24">
            <v>4489.95</v>
          </cell>
        </row>
        <row r="25">
          <cell r="D25">
            <v>28960.1</v>
          </cell>
          <cell r="E25">
            <v>51144.72000000001</v>
          </cell>
          <cell r="F25">
            <v>31108.740000000005</v>
          </cell>
          <cell r="G25">
            <v>40139.21</v>
          </cell>
          <cell r="H25">
            <v>34151.130000000005</v>
          </cell>
        </row>
        <row r="26">
          <cell r="D26">
            <v>6956.25</v>
          </cell>
          <cell r="E26">
            <v>7342.2</v>
          </cell>
          <cell r="F26">
            <v>6956.25</v>
          </cell>
          <cell r="G26">
            <v>6956.25</v>
          </cell>
          <cell r="H26">
            <v>6956.25</v>
          </cell>
        </row>
        <row r="27">
          <cell r="D27">
            <v>8012.74</v>
          </cell>
          <cell r="E27">
            <v>8012.74</v>
          </cell>
          <cell r="F27">
            <v>8012.74</v>
          </cell>
          <cell r="G27">
            <v>8012.74</v>
          </cell>
          <cell r="H27">
            <v>8012.74</v>
          </cell>
        </row>
        <row r="28">
          <cell r="C28">
            <v>18161.73</v>
          </cell>
          <cell r="D28">
            <v>30711.25</v>
          </cell>
          <cell r="E28">
            <v>167773.32</v>
          </cell>
          <cell r="F28">
            <v>19590.79</v>
          </cell>
          <cell r="G28">
            <v>83040.434</v>
          </cell>
          <cell r="H28">
            <v>60953.79</v>
          </cell>
        </row>
        <row r="29">
          <cell r="D29">
            <v>11965.28</v>
          </cell>
          <cell r="E29">
            <v>18773.15</v>
          </cell>
          <cell r="F29">
            <v>18042.81</v>
          </cell>
          <cell r="G29">
            <v>44366.29</v>
          </cell>
          <cell r="H29">
            <v>11897.29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P"/>
      <sheetName val="Financial Plan "/>
      <sheetName val="Financial 2"/>
      <sheetName val="Financial 1"/>
      <sheetName val="Summary-Att.A"/>
      <sheetName val="FInancial-Att.B"/>
      <sheetName val="Fin History"/>
      <sheetName val="Utilization-Att.C"/>
    </sheetNames>
    <sheetDataSet>
      <sheetData sheetId="1">
        <row r="29">
          <cell r="F29">
            <v>3441585.14</v>
          </cell>
        </row>
        <row r="34">
          <cell r="F34">
            <v>-3629357.85</v>
          </cell>
        </row>
      </sheetData>
      <sheetData sheetId="5">
        <row r="40">
          <cell r="T40">
            <v>-280132.66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Attachment B"/>
      <sheetName val="Attachment C"/>
      <sheetName val="05 actual"/>
      <sheetName val="06 Base Case"/>
      <sheetName val="Jan 06 Actual"/>
      <sheetName val="Jan Var"/>
      <sheetName val="Var Analysis"/>
      <sheetName val="Scenarios"/>
      <sheetName val="Scenarios Fin Plan"/>
      <sheetName val="05 06 Rates"/>
    </sheetNames>
    <sheetDataSet>
      <sheetData sheetId="0">
        <row r="44">
          <cell r="C44">
            <v>-88070.87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XBoo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rrata#1test"/>
      <sheetName val="QryMbase695"/>
      <sheetName val="Sheet3"/>
    </sheetNames>
    <sheetDataSet>
      <sheetData sheetId="2">
        <row r="2">
          <cell r="A2" t="str">
            <v>0010</v>
          </cell>
          <cell r="B2">
            <v>-29464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0020</v>
          </cell>
          <cell r="B3">
            <v>-38732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0030</v>
          </cell>
          <cell r="B4">
            <v>-11045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0040</v>
          </cell>
          <cell r="B5">
            <v>-7972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0050</v>
          </cell>
          <cell r="B6">
            <v>-4556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0060</v>
          </cell>
          <cell r="B7">
            <v>-2526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0070</v>
          </cell>
          <cell r="B8">
            <v>-10283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0120</v>
          </cell>
          <cell r="B9">
            <v>-18270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0130</v>
          </cell>
          <cell r="B10">
            <v>-262595</v>
          </cell>
          <cell r="C10">
            <v>30000</v>
          </cell>
          <cell r="D10">
            <v>-3.5</v>
          </cell>
          <cell r="E10">
            <v>0</v>
          </cell>
        </row>
        <row r="11">
          <cell r="A11" t="str">
            <v>0140</v>
          </cell>
          <cell r="B11">
            <v>-19385.99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0154</v>
          </cell>
          <cell r="B12">
            <v>1636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0180</v>
          </cell>
          <cell r="B13">
            <v>-22828.99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0201</v>
          </cell>
          <cell r="B14">
            <v>-271054.99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0208</v>
          </cell>
          <cell r="B15">
            <v>7599.01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0213</v>
          </cell>
          <cell r="B16">
            <v>1923</v>
          </cell>
          <cell r="C16">
            <v>-22185</v>
          </cell>
          <cell r="D16">
            <v>0</v>
          </cell>
          <cell r="E16">
            <v>0</v>
          </cell>
        </row>
        <row r="17">
          <cell r="A17" t="str">
            <v>0301</v>
          </cell>
          <cell r="B17">
            <v>673.01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0305</v>
          </cell>
          <cell r="B18">
            <v>-34025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0325</v>
          </cell>
          <cell r="B19">
            <v>32511</v>
          </cell>
          <cell r="C19">
            <v>-61142</v>
          </cell>
          <cell r="D19">
            <v>0</v>
          </cell>
          <cell r="E19">
            <v>0</v>
          </cell>
        </row>
        <row r="20">
          <cell r="A20" t="str">
            <v>0339</v>
          </cell>
          <cell r="B20">
            <v>-260879</v>
          </cell>
          <cell r="C20">
            <v>0</v>
          </cell>
          <cell r="D20">
            <v>-2</v>
          </cell>
          <cell r="E20">
            <v>0</v>
          </cell>
        </row>
        <row r="21">
          <cell r="A21" t="str">
            <v>0351</v>
          </cell>
          <cell r="B21">
            <v>-11458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0355</v>
          </cell>
          <cell r="B22">
            <v>96.01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0356</v>
          </cell>
          <cell r="B23">
            <v>10670.01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0381</v>
          </cell>
          <cell r="B24">
            <v>2606.01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0383</v>
          </cell>
          <cell r="B25">
            <v>-78459.99</v>
          </cell>
          <cell r="C25">
            <v>-42600</v>
          </cell>
          <cell r="D25">
            <v>-1.07</v>
          </cell>
          <cell r="E25">
            <v>0</v>
          </cell>
        </row>
        <row r="26">
          <cell r="A26" t="str">
            <v>0384</v>
          </cell>
          <cell r="B26">
            <v>686.01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0400</v>
          </cell>
          <cell r="B27">
            <v>-11000</v>
          </cell>
          <cell r="C27">
            <v>0</v>
          </cell>
          <cell r="D27">
            <v>-0.25</v>
          </cell>
          <cell r="E27">
            <v>0</v>
          </cell>
        </row>
        <row r="28">
          <cell r="A28" t="str">
            <v>0401</v>
          </cell>
          <cell r="B28">
            <v>-5115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0410</v>
          </cell>
          <cell r="B29">
            <v>-129679</v>
          </cell>
          <cell r="C29">
            <v>-41257</v>
          </cell>
          <cell r="D29">
            <v>-3</v>
          </cell>
          <cell r="E29">
            <v>0</v>
          </cell>
        </row>
        <row r="30">
          <cell r="A30" t="str">
            <v>0415</v>
          </cell>
          <cell r="B30">
            <v>1684.01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0420</v>
          </cell>
          <cell r="B31">
            <v>163271</v>
          </cell>
          <cell r="C31">
            <v>0</v>
          </cell>
          <cell r="D31">
            <v>-0.5</v>
          </cell>
          <cell r="E31">
            <v>3</v>
          </cell>
        </row>
        <row r="32">
          <cell r="A32" t="str">
            <v>0429</v>
          </cell>
          <cell r="B32">
            <v>2212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0432</v>
          </cell>
          <cell r="B33">
            <v>-90775</v>
          </cell>
          <cell r="C33">
            <v>0</v>
          </cell>
          <cell r="D33">
            <v>-4</v>
          </cell>
          <cell r="E33">
            <v>-1</v>
          </cell>
        </row>
        <row r="34">
          <cell r="A34" t="str">
            <v>0433</v>
          </cell>
          <cell r="B34">
            <v>769.01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0437</v>
          </cell>
          <cell r="B35">
            <v>-2499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0450</v>
          </cell>
          <cell r="B36">
            <v>-1000.99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0465</v>
          </cell>
          <cell r="B37">
            <v>-775941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0470</v>
          </cell>
          <cell r="B38">
            <v>-94000</v>
          </cell>
          <cell r="C38">
            <v>-10340</v>
          </cell>
          <cell r="D38">
            <v>0</v>
          </cell>
          <cell r="E38">
            <v>0</v>
          </cell>
        </row>
        <row r="39">
          <cell r="A39" t="str">
            <v>0471</v>
          </cell>
          <cell r="B39">
            <v>529.01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0480</v>
          </cell>
          <cell r="B40">
            <v>673.01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0502</v>
          </cell>
          <cell r="B41">
            <v>-382226</v>
          </cell>
          <cell r="C41">
            <v>0</v>
          </cell>
          <cell r="D41">
            <v>-5</v>
          </cell>
          <cell r="E41">
            <v>0</v>
          </cell>
        </row>
        <row r="42">
          <cell r="A42" t="str">
            <v>0512</v>
          </cell>
          <cell r="B42">
            <v>-325784.99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0532</v>
          </cell>
          <cell r="B43">
            <v>-241435.99</v>
          </cell>
          <cell r="C43">
            <v>0</v>
          </cell>
          <cell r="D43">
            <v>-8</v>
          </cell>
          <cell r="E43">
            <v>0</v>
          </cell>
        </row>
        <row r="44">
          <cell r="A44" t="str">
            <v>0542</v>
          </cell>
          <cell r="B44">
            <v>-96968.99</v>
          </cell>
          <cell r="C44">
            <v>0</v>
          </cell>
          <cell r="D44">
            <v>-3.5</v>
          </cell>
          <cell r="E44">
            <v>0</v>
          </cell>
        </row>
        <row r="45">
          <cell r="A45" t="str">
            <v>0572</v>
          </cell>
          <cell r="B45">
            <v>-299802</v>
          </cell>
          <cell r="C45">
            <v>0</v>
          </cell>
          <cell r="D45">
            <v>-5.5</v>
          </cell>
          <cell r="E45">
            <v>0</v>
          </cell>
        </row>
        <row r="46">
          <cell r="A46" t="str">
            <v>0601</v>
          </cell>
          <cell r="B46">
            <v>-120175.99</v>
          </cell>
          <cell r="C46">
            <v>0</v>
          </cell>
          <cell r="D46">
            <v>-3</v>
          </cell>
          <cell r="E46">
            <v>0</v>
          </cell>
        </row>
        <row r="47">
          <cell r="A47" t="str">
            <v>0630</v>
          </cell>
          <cell r="B47">
            <v>-4361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0651</v>
          </cell>
          <cell r="B48">
            <v>3233600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0656</v>
          </cell>
          <cell r="B49">
            <v>1017316</v>
          </cell>
          <cell r="C49">
            <v>645780</v>
          </cell>
          <cell r="D49">
            <v>0</v>
          </cell>
          <cell r="E49">
            <v>0</v>
          </cell>
        </row>
        <row r="50">
          <cell r="A50" t="str">
            <v>0666</v>
          </cell>
          <cell r="B50">
            <v>2357.01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0670</v>
          </cell>
          <cell r="B51">
            <v>-219426</v>
          </cell>
          <cell r="C51">
            <v>0</v>
          </cell>
          <cell r="D51">
            <v>-6</v>
          </cell>
          <cell r="E51">
            <v>0</v>
          </cell>
        </row>
        <row r="52">
          <cell r="A52" t="str">
            <v>0693</v>
          </cell>
          <cell r="B52">
            <v>14105.01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0706</v>
          </cell>
          <cell r="B53">
            <v>865.01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0710</v>
          </cell>
          <cell r="B54">
            <v>4545.01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0720</v>
          </cell>
          <cell r="B55">
            <v>37145.01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0730</v>
          </cell>
          <cell r="B56">
            <v>-1240890</v>
          </cell>
          <cell r="C56">
            <v>-1300224</v>
          </cell>
          <cell r="D56">
            <v>0</v>
          </cell>
          <cell r="E56">
            <v>0</v>
          </cell>
        </row>
        <row r="57">
          <cell r="A57" t="str">
            <v>0734</v>
          </cell>
          <cell r="B57">
            <v>-71981</v>
          </cell>
          <cell r="C57">
            <v>-71981</v>
          </cell>
          <cell r="D57">
            <v>0</v>
          </cell>
          <cell r="E57">
            <v>0</v>
          </cell>
        </row>
        <row r="58">
          <cell r="A58" t="str">
            <v>0740</v>
          </cell>
          <cell r="B58">
            <v>-467422.99</v>
          </cell>
          <cell r="C58">
            <v>-469635</v>
          </cell>
          <cell r="D58">
            <v>0</v>
          </cell>
          <cell r="E58">
            <v>0</v>
          </cell>
        </row>
        <row r="59">
          <cell r="A59" t="str">
            <v>0741</v>
          </cell>
          <cell r="B59">
            <v>-3088839.99</v>
          </cell>
          <cell r="C59">
            <v>-3230000</v>
          </cell>
          <cell r="D59">
            <v>-14.44</v>
          </cell>
          <cell r="E59">
            <v>0</v>
          </cell>
        </row>
        <row r="60">
          <cell r="A60" t="str">
            <v>0750</v>
          </cell>
          <cell r="B60">
            <v>4185.01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0780</v>
          </cell>
          <cell r="B61">
            <v>-89360</v>
          </cell>
          <cell r="C61">
            <v>-92246</v>
          </cell>
          <cell r="D61">
            <v>-1</v>
          </cell>
          <cell r="E61">
            <v>0</v>
          </cell>
        </row>
        <row r="62">
          <cell r="A62" t="str">
            <v>0800</v>
          </cell>
          <cell r="B62">
            <v>-6649343</v>
          </cell>
          <cell r="C62">
            <v>-211032</v>
          </cell>
          <cell r="D62">
            <v>0</v>
          </cell>
          <cell r="E62">
            <v>0</v>
          </cell>
        </row>
        <row r="63">
          <cell r="A63" t="str">
            <v>0830</v>
          </cell>
          <cell r="B63">
            <v>9043.01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0910</v>
          </cell>
          <cell r="B64">
            <v>2553024.01</v>
          </cell>
          <cell r="C64">
            <v>1653834</v>
          </cell>
          <cell r="D64">
            <v>0</v>
          </cell>
          <cell r="E64">
            <v>0</v>
          </cell>
        </row>
        <row r="65">
          <cell r="A65" t="str">
            <v>0912</v>
          </cell>
          <cell r="B65">
            <v>-2215234.99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0920</v>
          </cell>
          <cell r="B66">
            <v>-1340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0924</v>
          </cell>
          <cell r="B67">
            <v>6661.01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0932</v>
          </cell>
          <cell r="B68">
            <v>-78498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0935</v>
          </cell>
          <cell r="B69">
            <v>2833.01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0950</v>
          </cell>
          <cell r="B70">
            <v>-324416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0960</v>
          </cell>
          <cell r="B71">
            <v>9811.01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4000m</v>
          </cell>
          <cell r="B72">
            <v>57355.01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5000m</v>
          </cell>
          <cell r="B73">
            <v>-33159179.99</v>
          </cell>
          <cell r="C73">
            <v>13345000</v>
          </cell>
          <cell r="D73">
            <v>0</v>
          </cell>
          <cell r="E73">
            <v>0</v>
          </cell>
        </row>
        <row r="74">
          <cell r="A74" t="str">
            <v>5010m</v>
          </cell>
          <cell r="B74">
            <v>-417979.99</v>
          </cell>
          <cell r="C74">
            <v>0</v>
          </cell>
          <cell r="D74">
            <v>-6</v>
          </cell>
          <cell r="E74">
            <v>0</v>
          </cell>
        </row>
        <row r="75">
          <cell r="A75" t="str">
            <v>5610m</v>
          </cell>
          <cell r="B75">
            <v>-724252</v>
          </cell>
          <cell r="C75">
            <v>-724252</v>
          </cell>
          <cell r="D75">
            <v>-2</v>
          </cell>
          <cell r="E75">
            <v>-4</v>
          </cell>
        </row>
        <row r="76">
          <cell r="A76" t="str">
            <v>9980</v>
          </cell>
          <cell r="B76">
            <v>-81019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9981</v>
          </cell>
          <cell r="B77">
            <v>-130013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9985</v>
          </cell>
          <cell r="B78">
            <v>-1066399.99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9989</v>
          </cell>
          <cell r="B79">
            <v>-1430.99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9990</v>
          </cell>
          <cell r="B80">
            <v>-61142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9991</v>
          </cell>
          <cell r="B81">
            <v>-2639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9995</v>
          </cell>
          <cell r="B82">
            <v>-11458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9998</v>
          </cell>
          <cell r="B83">
            <v>5300000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99999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tabSelected="1" workbookViewId="0" topLeftCell="B1">
      <pane xSplit="3" topLeftCell="E2" activePane="topRight" state="frozen"/>
      <selection pane="topLeft" activeCell="A50" sqref="A50"/>
      <selection pane="topRight" activeCell="G13" sqref="G13"/>
    </sheetView>
  </sheetViews>
  <sheetFormatPr defaultColWidth="9.140625" defaultRowHeight="12.75"/>
  <cols>
    <col min="1" max="1" width="2.28125" style="13" customWidth="1"/>
    <col min="2" max="2" width="2.28125" style="14" customWidth="1"/>
    <col min="3" max="3" width="45.57421875" style="14" customWidth="1"/>
    <col min="4" max="4" width="1.28515625" style="15" customWidth="1"/>
    <col min="5" max="5" width="13.421875" style="17" customWidth="1"/>
    <col min="6" max="6" width="12.140625" style="17" customWidth="1"/>
    <col min="7" max="7" width="12.7109375" style="17" customWidth="1"/>
    <col min="8" max="8" width="12.140625" style="17" customWidth="1"/>
    <col min="9" max="9" width="13.140625" style="17" customWidth="1"/>
    <col min="10" max="10" width="13.00390625" style="17" customWidth="1"/>
    <col min="11" max="11" width="12.00390625" style="17" customWidth="1"/>
    <col min="12" max="12" width="12.140625" style="14" customWidth="1"/>
    <col min="13" max="15" width="11.00390625" style="14" customWidth="1"/>
    <col min="16" max="16" width="11.7109375" style="14" customWidth="1"/>
    <col min="17" max="17" width="2.28125" style="18" customWidth="1"/>
    <col min="18" max="18" width="14.140625" style="14" customWidth="1"/>
    <col min="19" max="19" width="12.57421875" style="14" customWidth="1"/>
    <col min="20" max="20" width="14.140625" style="14" customWidth="1"/>
    <col min="21" max="21" width="15.28125" style="15" hidden="1" customWidth="1"/>
    <col min="22" max="22" width="15.7109375" style="15" hidden="1" customWidth="1"/>
    <col min="23" max="23" width="18.28125" style="15" hidden="1" customWidth="1"/>
    <col min="24" max="24" width="14.28125" style="15" hidden="1" customWidth="1"/>
    <col min="25" max="25" width="9.140625" style="15" hidden="1" customWidth="1"/>
    <col min="26" max="26" width="14.28125" style="21" hidden="1" customWidth="1"/>
    <col min="27" max="16384" width="9.140625" style="15" customWidth="1"/>
  </cols>
  <sheetData>
    <row r="1" spans="1:26" s="11" customFormat="1" ht="24">
      <c r="A1" s="1"/>
      <c r="B1" s="2"/>
      <c r="C1" s="2"/>
      <c r="D1" s="3"/>
      <c r="E1" s="4" t="s">
        <v>62</v>
      </c>
      <c r="F1" s="4" t="s">
        <v>63</v>
      </c>
      <c r="G1" s="4" t="s">
        <v>64</v>
      </c>
      <c r="H1" s="4" t="s">
        <v>65</v>
      </c>
      <c r="I1" s="4" t="s">
        <v>66</v>
      </c>
      <c r="J1" s="4" t="s">
        <v>67</v>
      </c>
      <c r="K1" s="5" t="s">
        <v>0</v>
      </c>
      <c r="L1" s="6" t="s">
        <v>1</v>
      </c>
      <c r="M1" s="6" t="s">
        <v>2</v>
      </c>
      <c r="N1" s="6" t="s">
        <v>3</v>
      </c>
      <c r="O1" s="6" t="s">
        <v>4</v>
      </c>
      <c r="P1" s="7" t="s">
        <v>5</v>
      </c>
      <c r="Q1" s="8"/>
      <c r="R1" s="6" t="s">
        <v>6</v>
      </c>
      <c r="S1" s="9" t="s">
        <v>68</v>
      </c>
      <c r="T1" s="10" t="s">
        <v>7</v>
      </c>
      <c r="U1" s="11" t="s">
        <v>8</v>
      </c>
      <c r="V1" s="11" t="s">
        <v>9</v>
      </c>
      <c r="W1" s="11" t="s">
        <v>10</v>
      </c>
      <c r="Z1" s="12"/>
    </row>
    <row r="2" spans="1:20" ht="12.75" collapsed="1">
      <c r="A2" s="13" t="s">
        <v>11</v>
      </c>
      <c r="E2" s="16"/>
      <c r="R2" s="19"/>
      <c r="T2" s="20"/>
    </row>
    <row r="3" spans="2:23" ht="12.75">
      <c r="B3" s="14" t="s">
        <v>12</v>
      </c>
      <c r="E3" s="22">
        <f>E17+E23+E29+E35+E39+E48</f>
        <v>111808.12</v>
      </c>
      <c r="F3" s="22">
        <f aca="true" t="shared" si="0" ref="F3:P3">F17+F23+F29+F35+F39+F48+F43</f>
        <v>67502.92</v>
      </c>
      <c r="G3" s="22">
        <f t="shared" si="0"/>
        <v>440380.51</v>
      </c>
      <c r="H3" s="22">
        <f t="shared" si="0"/>
        <v>238349.01</v>
      </c>
      <c r="I3" s="22">
        <f t="shared" si="0"/>
        <v>357041.12</v>
      </c>
      <c r="J3" s="22">
        <f t="shared" si="0"/>
        <v>224981.59</v>
      </c>
      <c r="K3" s="22">
        <f t="shared" si="0"/>
        <v>235797.3940380191</v>
      </c>
      <c r="L3" s="22">
        <f t="shared" si="0"/>
        <v>263352.8630524713</v>
      </c>
      <c r="M3" s="22">
        <f t="shared" si="0"/>
        <v>311035.8906198804</v>
      </c>
      <c r="N3" s="22">
        <f t="shared" si="0"/>
        <v>256092.1685466459</v>
      </c>
      <c r="O3" s="22">
        <f t="shared" si="0"/>
        <v>404633.71115262207</v>
      </c>
      <c r="P3" s="22">
        <f t="shared" si="0"/>
        <v>495891.9459624244</v>
      </c>
      <c r="R3" s="23">
        <f>SUM(E3:P3)</f>
        <v>3406867.243372063</v>
      </c>
      <c r="S3" s="24"/>
      <c r="T3" s="25">
        <f>T17+T23+T29+T35+T39+T48</f>
        <v>3406867.2433720627</v>
      </c>
      <c r="U3" s="26">
        <f>U17+U23+U29+U35+U39+U48</f>
        <v>288361.36843757087</v>
      </c>
      <c r="V3" s="27" t="e">
        <f>W3-#REF!</f>
        <v>#REF!</v>
      </c>
      <c r="W3" s="27">
        <f>'[2]Financial Plan '!F29</f>
        <v>3441585.14</v>
      </c>
    </row>
    <row r="4" spans="2:24" ht="13.5" thickBot="1">
      <c r="B4" s="14" t="s">
        <v>13</v>
      </c>
      <c r="E4" s="28">
        <f aca="true" t="shared" si="1" ref="E4:P4">E18+E24+E30+E36+E44+E40+E49</f>
        <v>-192289.19333333336</v>
      </c>
      <c r="F4" s="28">
        <f t="shared" si="1"/>
        <v>-184534.75</v>
      </c>
      <c r="G4" s="28">
        <f t="shared" si="1"/>
        <v>-518576.4</v>
      </c>
      <c r="H4" s="28">
        <f t="shared" si="1"/>
        <v>-262194.79</v>
      </c>
      <c r="I4" s="28">
        <f t="shared" si="1"/>
        <v>-457728.59400000004</v>
      </c>
      <c r="J4" s="28">
        <f t="shared" si="1"/>
        <v>-242163.83000000002</v>
      </c>
      <c r="K4" s="28">
        <f t="shared" si="1"/>
        <v>-236942.75</v>
      </c>
      <c r="L4" s="28">
        <f t="shared" si="1"/>
        <v>-236942.75</v>
      </c>
      <c r="M4" s="28">
        <f t="shared" si="1"/>
        <v>-236942.75</v>
      </c>
      <c r="N4" s="28">
        <f t="shared" si="1"/>
        <v>-236942.75</v>
      </c>
      <c r="O4" s="28">
        <f t="shared" si="1"/>
        <v>-236942.75</v>
      </c>
      <c r="P4" s="28">
        <f t="shared" si="1"/>
        <v>-927416.7499999999</v>
      </c>
      <c r="R4" s="29">
        <f>SUM(E4:P4)</f>
        <v>-3969618.0573333334</v>
      </c>
      <c r="S4" s="30">
        <f>SUM(S15:S49)-S45</f>
        <v>0</v>
      </c>
      <c r="T4" s="31">
        <f>T18+T24+T30+T36+T44+T40+T49</f>
        <v>-3969618.057333333</v>
      </c>
      <c r="U4" s="26">
        <f>U18+U24+U30+U36+U44+U40+U49</f>
        <v>-338198.0236212121</v>
      </c>
      <c r="V4" s="27" t="e">
        <f>W4-#REF!</f>
        <v>#REF!</v>
      </c>
      <c r="W4" s="27">
        <f>'[2]Financial Plan '!F34</f>
        <v>-3629357.85</v>
      </c>
      <c r="X4" s="32"/>
    </row>
    <row r="5" spans="1:23" ht="13.5" thickTop="1">
      <c r="A5" s="14"/>
      <c r="B5" s="14" t="s">
        <v>14</v>
      </c>
      <c r="E5" s="33">
        <f aca="true" t="shared" si="2" ref="E5:P5">E3+E4</f>
        <v>-80481.07333333336</v>
      </c>
      <c r="F5" s="33">
        <f t="shared" si="2"/>
        <v>-117031.83</v>
      </c>
      <c r="G5" s="33">
        <f t="shared" si="2"/>
        <v>-78195.89000000001</v>
      </c>
      <c r="H5" s="33">
        <f t="shared" si="2"/>
        <v>-23845.77999999997</v>
      </c>
      <c r="I5" s="33">
        <f t="shared" si="2"/>
        <v>-100687.47400000005</v>
      </c>
      <c r="J5" s="33">
        <f t="shared" si="2"/>
        <v>-17182.24000000002</v>
      </c>
      <c r="K5" s="33">
        <f t="shared" si="2"/>
        <v>-1145.3559619809093</v>
      </c>
      <c r="L5" s="33">
        <f t="shared" si="2"/>
        <v>26410.113052471308</v>
      </c>
      <c r="M5" s="33">
        <f t="shared" si="2"/>
        <v>74093.1406198804</v>
      </c>
      <c r="N5" s="33">
        <f t="shared" si="2"/>
        <v>19149.418546645902</v>
      </c>
      <c r="O5" s="33">
        <f t="shared" si="2"/>
        <v>167690.96115262207</v>
      </c>
      <c r="P5" s="33">
        <f t="shared" si="2"/>
        <v>-431524.8040375755</v>
      </c>
      <c r="R5" s="34">
        <f>SUM(E5:P5)</f>
        <v>-562750.81396127</v>
      </c>
      <c r="S5" s="35"/>
      <c r="T5" s="36">
        <f>T3+T4</f>
        <v>-562750.8139612703</v>
      </c>
      <c r="U5" s="26">
        <f>U3+U4</f>
        <v>-49836.65518364124</v>
      </c>
      <c r="V5" s="27" t="e">
        <f>V3+V4</f>
        <v>#REF!</v>
      </c>
      <c r="W5" s="37">
        <f>W3+W4</f>
        <v>-187772.70999999996</v>
      </c>
    </row>
    <row r="6" spans="2:23" ht="12.75">
      <c r="B6" s="14" t="s">
        <v>15</v>
      </c>
      <c r="E6" s="22">
        <f>-'[3]Attachment A'!C44</f>
        <v>88070.87</v>
      </c>
      <c r="F6" s="22">
        <f aca="true" t="shared" si="3" ref="F6:P6">F3/2</f>
        <v>33751.46</v>
      </c>
      <c r="G6" s="22">
        <f t="shared" si="3"/>
        <v>220190.255</v>
      </c>
      <c r="H6" s="22">
        <f t="shared" si="3"/>
        <v>119174.505</v>
      </c>
      <c r="I6" s="22">
        <f t="shared" si="3"/>
        <v>178520.56</v>
      </c>
      <c r="J6" s="22">
        <f t="shared" si="3"/>
        <v>112490.795</v>
      </c>
      <c r="K6" s="22">
        <f t="shared" si="3"/>
        <v>117898.69701900955</v>
      </c>
      <c r="L6" s="22">
        <f t="shared" si="3"/>
        <v>131676.43152623565</v>
      </c>
      <c r="M6" s="22">
        <f t="shared" si="3"/>
        <v>155517.9453099402</v>
      </c>
      <c r="N6" s="22">
        <f t="shared" si="3"/>
        <v>128046.08427332295</v>
      </c>
      <c r="O6" s="22">
        <f t="shared" si="3"/>
        <v>202316.85557631103</v>
      </c>
      <c r="P6" s="22">
        <f t="shared" si="3"/>
        <v>247945.9729812122</v>
      </c>
      <c r="R6" s="23"/>
      <c r="S6" s="24"/>
      <c r="T6" s="25"/>
      <c r="U6" s="26"/>
      <c r="V6" s="27"/>
      <c r="W6" s="37"/>
    </row>
    <row r="7" spans="2:23" ht="12.75">
      <c r="B7" s="14" t="s">
        <v>16</v>
      </c>
      <c r="E7" s="38">
        <f>-280133+E5-E6</f>
        <v>-448684.94333333336</v>
      </c>
      <c r="F7" s="22">
        <f aca="true" t="shared" si="4" ref="F7:P7">E7+F5-F6+E6</f>
        <v>-511397.3633333333</v>
      </c>
      <c r="G7" s="22">
        <f t="shared" si="4"/>
        <v>-776032.0483333333</v>
      </c>
      <c r="H7" s="22">
        <f t="shared" si="4"/>
        <v>-698862.0783333334</v>
      </c>
      <c r="I7" s="22">
        <f t="shared" si="4"/>
        <v>-858895.6073333333</v>
      </c>
      <c r="J7" s="22">
        <f t="shared" si="4"/>
        <v>-810048.0823333333</v>
      </c>
      <c r="K7" s="22">
        <f t="shared" si="4"/>
        <v>-816601.3403143237</v>
      </c>
      <c r="L7" s="22">
        <f t="shared" si="4"/>
        <v>-803968.9617690785</v>
      </c>
      <c r="M7" s="22">
        <f t="shared" si="4"/>
        <v>-753717.3349329027</v>
      </c>
      <c r="N7" s="22">
        <f t="shared" si="4"/>
        <v>-707096.0553496396</v>
      </c>
      <c r="O7" s="22">
        <f t="shared" si="4"/>
        <v>-613675.8655000057</v>
      </c>
      <c r="P7" s="22">
        <f t="shared" si="4"/>
        <v>-1090829.7869424822</v>
      </c>
      <c r="R7" s="23">
        <f>P7</f>
        <v>-1090829.7869424822</v>
      </c>
      <c r="S7" s="39"/>
      <c r="T7" s="40">
        <f>R7</f>
        <v>-1090829.7869424822</v>
      </c>
      <c r="U7" s="41">
        <f>AVERAGE(E7:P7)</f>
        <v>-740817.4556507027</v>
      </c>
      <c r="V7" s="27"/>
      <c r="W7" s="27"/>
    </row>
    <row r="8" spans="2:23" ht="12.75">
      <c r="B8" s="14" t="s">
        <v>17</v>
      </c>
      <c r="E8" s="22">
        <f>'[1]Attachment A'!D27+'[1]Attachment A'!C43</f>
        <v>-612001.6433333337</v>
      </c>
      <c r="F8" s="22">
        <f aca="true" t="shared" si="5" ref="F8:P8">E8+F5</f>
        <v>-729033.4733333336</v>
      </c>
      <c r="G8" s="22">
        <f t="shared" si="5"/>
        <v>-807229.3633333336</v>
      </c>
      <c r="H8" s="22">
        <f t="shared" si="5"/>
        <v>-831075.1433333335</v>
      </c>
      <c r="I8" s="22">
        <f t="shared" si="5"/>
        <v>-931762.6173333336</v>
      </c>
      <c r="J8" s="22">
        <f t="shared" si="5"/>
        <v>-948944.8573333336</v>
      </c>
      <c r="K8" s="22">
        <f t="shared" si="5"/>
        <v>-950090.2132953145</v>
      </c>
      <c r="L8" s="22">
        <f t="shared" si="5"/>
        <v>-923680.1002428432</v>
      </c>
      <c r="M8" s="22">
        <f t="shared" si="5"/>
        <v>-849586.9596229627</v>
      </c>
      <c r="N8" s="22">
        <f t="shared" si="5"/>
        <v>-830437.5410763168</v>
      </c>
      <c r="O8" s="22">
        <f t="shared" si="5"/>
        <v>-662746.5799236947</v>
      </c>
      <c r="P8" s="22">
        <f t="shared" si="5"/>
        <v>-1094271.38396127</v>
      </c>
      <c r="R8" s="23">
        <f>P8</f>
        <v>-1094271.38396127</v>
      </c>
      <c r="S8" s="42"/>
      <c r="T8" s="43">
        <f>R8</f>
        <v>-1094271.38396127</v>
      </c>
      <c r="U8" s="44"/>
      <c r="V8" s="27"/>
      <c r="W8" s="27">
        <f>-343747+W5</f>
        <v>-531519.71</v>
      </c>
    </row>
    <row r="9" spans="2:23" ht="12.75" hidden="1">
      <c r="B9" s="14" t="s">
        <v>18</v>
      </c>
      <c r="E9" s="22">
        <f aca="true" t="shared" si="6" ref="E9:N9">-E7</f>
        <v>448684.94333333336</v>
      </c>
      <c r="F9" s="22">
        <f t="shared" si="6"/>
        <v>511397.3633333333</v>
      </c>
      <c r="G9" s="22">
        <f t="shared" si="6"/>
        <v>776032.0483333333</v>
      </c>
      <c r="H9" s="22">
        <f t="shared" si="6"/>
        <v>698862.0783333334</v>
      </c>
      <c r="I9" s="22">
        <f t="shared" si="6"/>
        <v>858895.6073333333</v>
      </c>
      <c r="J9" s="22">
        <f t="shared" si="6"/>
        <v>810048.0823333333</v>
      </c>
      <c r="K9" s="22">
        <f t="shared" si="6"/>
        <v>816601.3403143237</v>
      </c>
      <c r="L9" s="22">
        <f t="shared" si="6"/>
        <v>803968.9617690785</v>
      </c>
      <c r="M9" s="22">
        <f t="shared" si="6"/>
        <v>753717.3349329027</v>
      </c>
      <c r="N9" s="22">
        <f t="shared" si="6"/>
        <v>707096.0553496396</v>
      </c>
      <c r="O9" s="22"/>
      <c r="P9" s="22">
        <f>-'[2]FInancial-Att.B'!T40</f>
        <v>280132.66</v>
      </c>
      <c r="R9" s="23">
        <f>P9</f>
        <v>280132.66</v>
      </c>
      <c r="S9" s="39"/>
      <c r="T9" s="40"/>
      <c r="U9" s="41">
        <f>AVERAGE(E9:P9)</f>
        <v>678676.0432150859</v>
      </c>
      <c r="V9" s="27"/>
      <c r="W9" s="27"/>
    </row>
    <row r="10" spans="2:23" ht="12.75" hidden="1">
      <c r="B10" s="14" t="s">
        <v>19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R10" s="23">
        <f>SUM(E10:P10)</f>
        <v>0</v>
      </c>
      <c r="S10" s="39"/>
      <c r="T10" s="40"/>
      <c r="U10" s="41" t="e">
        <f>AVERAGE(E10:P10)</f>
        <v>#DIV/0!</v>
      </c>
      <c r="V10" s="27"/>
      <c r="W10" s="27"/>
    </row>
    <row r="11" spans="5:23" ht="3.75" customHeight="1">
      <c r="E11" s="16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R11" s="19"/>
      <c r="S11" s="18"/>
      <c r="T11" s="20"/>
      <c r="U11" s="18"/>
      <c r="V11" s="46"/>
      <c r="W11" s="46"/>
    </row>
    <row r="12" spans="1:26" s="11" customFormat="1" ht="12.75">
      <c r="A12" s="139" t="s">
        <v>20</v>
      </c>
      <c r="B12" s="140"/>
      <c r="C12" s="140"/>
      <c r="E12" s="47"/>
      <c r="F12" s="48"/>
      <c r="G12" s="48"/>
      <c r="H12" s="48"/>
      <c r="I12" s="48"/>
      <c r="J12" s="48"/>
      <c r="K12" s="48"/>
      <c r="L12" s="49"/>
      <c r="M12" s="49"/>
      <c r="N12" s="49"/>
      <c r="O12" s="49"/>
      <c r="P12" s="49"/>
      <c r="Q12" s="50"/>
      <c r="R12" s="51"/>
      <c r="S12" s="52"/>
      <c r="T12" s="53"/>
      <c r="U12" s="52"/>
      <c r="V12" s="54"/>
      <c r="W12" s="54"/>
      <c r="Z12" s="12"/>
    </row>
    <row r="13" spans="1:21" ht="12.75">
      <c r="A13" s="13" t="s">
        <v>21</v>
      </c>
      <c r="E13" s="55"/>
      <c r="R13" s="19"/>
      <c r="T13" s="20"/>
      <c r="U13" s="14"/>
    </row>
    <row r="14" spans="2:21" ht="12.75">
      <c r="B14" s="14" t="s">
        <v>22</v>
      </c>
      <c r="E14" s="16"/>
      <c r="R14" s="19"/>
      <c r="T14" s="20"/>
      <c r="U14" s="14"/>
    </row>
    <row r="15" spans="3:21" ht="12.75" hidden="1">
      <c r="C15" s="14" t="s">
        <v>23</v>
      </c>
      <c r="E15" s="56" t="s">
        <v>24</v>
      </c>
      <c r="F15" s="56" t="s">
        <v>24</v>
      </c>
      <c r="G15" s="56" t="s">
        <v>24</v>
      </c>
      <c r="H15" s="56" t="s">
        <v>24</v>
      </c>
      <c r="I15" s="56" t="s">
        <v>24</v>
      </c>
      <c r="J15" s="56" t="s">
        <v>24</v>
      </c>
      <c r="K15" s="56" t="s">
        <v>24</v>
      </c>
      <c r="L15" s="56" t="s">
        <v>24</v>
      </c>
      <c r="M15" s="56" t="s">
        <v>24</v>
      </c>
      <c r="N15" s="56" t="s">
        <v>24</v>
      </c>
      <c r="O15" s="56" t="s">
        <v>24</v>
      </c>
      <c r="P15" s="56" t="s">
        <v>24</v>
      </c>
      <c r="R15" s="57" t="s">
        <v>24</v>
      </c>
      <c r="S15" s="39"/>
      <c r="T15" s="40"/>
      <c r="U15" s="41" t="e">
        <f>AVERAGE(E15:P15)</f>
        <v>#DIV/0!</v>
      </c>
    </row>
    <row r="16" spans="3:21" ht="12.75" hidden="1">
      <c r="C16" s="14" t="s">
        <v>25</v>
      </c>
      <c r="E16" s="56" t="s">
        <v>24</v>
      </c>
      <c r="F16" s="56" t="s">
        <v>24</v>
      </c>
      <c r="G16" s="56" t="s">
        <v>24</v>
      </c>
      <c r="H16" s="56" t="s">
        <v>24</v>
      </c>
      <c r="I16" s="56" t="s">
        <v>24</v>
      </c>
      <c r="J16" s="56" t="s">
        <v>24</v>
      </c>
      <c r="K16" s="56" t="s">
        <v>24</v>
      </c>
      <c r="L16" s="56" t="s">
        <v>24</v>
      </c>
      <c r="M16" s="56" t="s">
        <v>24</v>
      </c>
      <c r="N16" s="56" t="s">
        <v>24</v>
      </c>
      <c r="O16" s="56" t="s">
        <v>24</v>
      </c>
      <c r="P16" s="56" t="s">
        <v>24</v>
      </c>
      <c r="R16" s="57" t="s">
        <v>24</v>
      </c>
      <c r="S16" s="39"/>
      <c r="T16" s="40"/>
      <c r="U16" s="41" t="e">
        <f>AVERAGE(E16:P16)</f>
        <v>#DIV/0!</v>
      </c>
    </row>
    <row r="17" spans="3:21" ht="12.75">
      <c r="C17" s="14" t="s">
        <v>26</v>
      </c>
      <c r="E17" s="22">
        <v>37190</v>
      </c>
      <c r="F17" s="22">
        <f>'[1]Perfomance Details'!D8+'[1]Perfomance Details'!D9</f>
        <v>3397.779999999999</v>
      </c>
      <c r="G17" s="22">
        <f>'[1]Perfomance Details'!E8+'[1]Perfomance Details'!E9</f>
        <v>319901.73</v>
      </c>
      <c r="H17" s="22">
        <f>'[1]Perfomance Details'!F8+'[1]Perfomance Details'!F9</f>
        <v>77329.81</v>
      </c>
      <c r="I17" s="22">
        <f>'[1]Perfomance Details'!G8+'[1]Perfomance Details'!G9</f>
        <v>224173.16999999998</v>
      </c>
      <c r="J17" s="22">
        <f>'[1]Perfomance Details'!H8+'[1]Perfomance Details'!H9</f>
        <v>84537.81</v>
      </c>
      <c r="K17" s="22">
        <v>119488.79903423495</v>
      </c>
      <c r="L17" s="22">
        <v>139724.1250191327</v>
      </c>
      <c r="M17" s="22">
        <v>179280.8541144638</v>
      </c>
      <c r="N17" s="22">
        <v>134669.60424563225</v>
      </c>
      <c r="O17" s="22">
        <v>249797.92972982337</v>
      </c>
      <c r="P17" s="22">
        <v>322985.37517164706</v>
      </c>
      <c r="R17" s="23">
        <f>SUM(E17:P17)</f>
        <v>1892476.987314934</v>
      </c>
      <c r="S17" s="39">
        <f>W54</f>
        <v>-7400.315729616319</v>
      </c>
      <c r="T17" s="40">
        <f>R17+S17</f>
        <v>1885076.6715853177</v>
      </c>
      <c r="U17" s="41">
        <f>AVERAGE(E17:P17)</f>
        <v>157706.41560957782</v>
      </c>
    </row>
    <row r="18" spans="3:21" ht="13.5" thickBot="1">
      <c r="C18" s="14" t="s">
        <v>13</v>
      </c>
      <c r="E18" s="28">
        <f>-'[1]Perfomance Details'!C23</f>
        <v>-65382.76000000001</v>
      </c>
      <c r="F18" s="28">
        <f>-'[1]Perfomance Details'!D23</f>
        <v>-93439.18000000001</v>
      </c>
      <c r="G18" s="28">
        <f>-'[1]Perfomance Details'!E23</f>
        <v>-261040.31999999998</v>
      </c>
      <c r="H18" s="28">
        <f>-'[1]Perfomance Details'!F23</f>
        <v>-173993.50999999998</v>
      </c>
      <c r="I18" s="28">
        <f>-'[1]Perfomance Details'!G23</f>
        <v>-270723.72000000003</v>
      </c>
      <c r="J18" s="28">
        <f>-'[1]Perfomance Details'!H23</f>
        <v>-115702.68000000001</v>
      </c>
      <c r="K18" s="28">
        <f>-(1625492-212518)/12</f>
        <v>-117747.83333333333</v>
      </c>
      <c r="L18" s="28">
        <f>-(1625492-212518)/12</f>
        <v>-117747.83333333333</v>
      </c>
      <c r="M18" s="28">
        <f>-(1625492-212518)/12</f>
        <v>-117747.83333333333</v>
      </c>
      <c r="N18" s="28">
        <f>-(1625492-212518)/12</f>
        <v>-117747.83333333333</v>
      </c>
      <c r="O18" s="28">
        <f>-(1625492-212518)/12</f>
        <v>-117747.83333333333</v>
      </c>
      <c r="P18" s="28">
        <f>-(1625492-212518)/12-212518-14495</f>
        <v>-344760.8333333333</v>
      </c>
      <c r="R18" s="29">
        <f>SUM(E18:P18)</f>
        <v>-1913782.1699999997</v>
      </c>
      <c r="S18" s="58">
        <f>Z54</f>
        <v>-346126.226531212</v>
      </c>
      <c r="T18" s="59">
        <f>R18+S18</f>
        <v>-2259908.3965312117</v>
      </c>
      <c r="U18" s="60">
        <f>AVERAGE(E18:P18)</f>
        <v>-159481.84749999997</v>
      </c>
    </row>
    <row r="19" spans="3:21" ht="13.5" thickTop="1">
      <c r="C19" s="14" t="s">
        <v>14</v>
      </c>
      <c r="E19" s="33">
        <f aca="true" t="shared" si="7" ref="E19:P19">SUM(E17:E18)</f>
        <v>-28192.76000000001</v>
      </c>
      <c r="F19" s="33">
        <f t="shared" si="7"/>
        <v>-90041.40000000001</v>
      </c>
      <c r="G19" s="33">
        <f t="shared" si="7"/>
        <v>58861.41</v>
      </c>
      <c r="H19" s="33">
        <f t="shared" si="7"/>
        <v>-96663.69999999998</v>
      </c>
      <c r="I19" s="33">
        <f t="shared" si="7"/>
        <v>-46550.55000000005</v>
      </c>
      <c r="J19" s="33">
        <f t="shared" si="7"/>
        <v>-31164.87000000001</v>
      </c>
      <c r="K19" s="33">
        <f t="shared" si="7"/>
        <v>1740.9657009016228</v>
      </c>
      <c r="L19" s="33">
        <f t="shared" si="7"/>
        <v>21976.291685799384</v>
      </c>
      <c r="M19" s="33">
        <f t="shared" si="7"/>
        <v>61533.02078113046</v>
      </c>
      <c r="N19" s="33">
        <f t="shared" si="7"/>
        <v>16921.770912298918</v>
      </c>
      <c r="O19" s="33">
        <f t="shared" si="7"/>
        <v>132050.09639649006</v>
      </c>
      <c r="P19" s="33">
        <f t="shared" si="7"/>
        <v>-21775.458161686256</v>
      </c>
      <c r="R19" s="34">
        <f>SUM(E19:P19)</f>
        <v>-21305.18268506584</v>
      </c>
      <c r="S19" s="61"/>
      <c r="T19" s="62">
        <f>T17+T18</f>
        <v>-374831.724945894</v>
      </c>
      <c r="U19" s="63">
        <f>AVERAGE(E19:P19)</f>
        <v>-1775.4318904221534</v>
      </c>
    </row>
    <row r="20" spans="2:21" ht="12.75">
      <c r="B20" s="14" t="s">
        <v>27</v>
      </c>
      <c r="E20" s="16"/>
      <c r="R20" s="19"/>
      <c r="T20" s="20"/>
      <c r="U20" s="14"/>
    </row>
    <row r="21" spans="3:21" ht="12.75" hidden="1">
      <c r="C21" s="14" t="s">
        <v>23</v>
      </c>
      <c r="E21" s="56" t="s">
        <v>24</v>
      </c>
      <c r="F21" s="56" t="s">
        <v>24</v>
      </c>
      <c r="G21" s="56" t="s">
        <v>24</v>
      </c>
      <c r="H21" s="56" t="s">
        <v>24</v>
      </c>
      <c r="I21" s="56" t="s">
        <v>24</v>
      </c>
      <c r="J21" s="56" t="s">
        <v>24</v>
      </c>
      <c r="K21" s="56" t="s">
        <v>24</v>
      </c>
      <c r="L21" s="56" t="s">
        <v>24</v>
      </c>
      <c r="M21" s="56" t="s">
        <v>24</v>
      </c>
      <c r="N21" s="56" t="s">
        <v>24</v>
      </c>
      <c r="O21" s="56" t="s">
        <v>24</v>
      </c>
      <c r="P21" s="56" t="s">
        <v>24</v>
      </c>
      <c r="R21" s="57" t="s">
        <v>24</v>
      </c>
      <c r="S21" s="39"/>
      <c r="T21" s="40"/>
      <c r="U21" s="41" t="e">
        <f>AVERAGE(E21:P21)</f>
        <v>#DIV/0!</v>
      </c>
    </row>
    <row r="22" spans="3:21" ht="12.75" hidden="1">
      <c r="C22" s="14" t="s">
        <v>28</v>
      </c>
      <c r="E22" s="56" t="s">
        <v>24</v>
      </c>
      <c r="F22" s="56" t="s">
        <v>24</v>
      </c>
      <c r="G22" s="56" t="s">
        <v>24</v>
      </c>
      <c r="H22" s="56" t="s">
        <v>24</v>
      </c>
      <c r="I22" s="56" t="s">
        <v>24</v>
      </c>
      <c r="J22" s="56" t="s">
        <v>24</v>
      </c>
      <c r="K22" s="56" t="s">
        <v>24</v>
      </c>
      <c r="L22" s="56" t="s">
        <v>24</v>
      </c>
      <c r="M22" s="56" t="s">
        <v>24</v>
      </c>
      <c r="N22" s="56" t="s">
        <v>24</v>
      </c>
      <c r="O22" s="56" t="s">
        <v>24</v>
      </c>
      <c r="P22" s="56" t="s">
        <v>24</v>
      </c>
      <c r="R22" s="57" t="s">
        <v>24</v>
      </c>
      <c r="S22" s="64"/>
      <c r="T22" s="65"/>
      <c r="U22" s="66" t="s">
        <v>24</v>
      </c>
    </row>
    <row r="23" spans="3:21" ht="12.75">
      <c r="C23" s="14" t="s">
        <v>26</v>
      </c>
      <c r="E23" s="22">
        <v>26343.02</v>
      </c>
      <c r="F23" s="22">
        <f>'[1]Perfomance Details'!D11</f>
        <v>36171.56</v>
      </c>
      <c r="G23" s="22">
        <f>'[1]Perfomance Details'!E11</f>
        <v>2999.5</v>
      </c>
      <c r="H23" s="22">
        <f>'[1]Perfomance Details'!F11</f>
        <v>45959.64000000001</v>
      </c>
      <c r="I23" s="22">
        <f>'[1]Perfomance Details'!G11</f>
        <v>61218.21000000001</v>
      </c>
      <c r="J23" s="22">
        <f>'[1]Perfomance Details'!H11</f>
        <v>21169.92</v>
      </c>
      <c r="K23" s="22">
        <v>38777</v>
      </c>
      <c r="L23" s="22">
        <v>40720</v>
      </c>
      <c r="M23" s="22">
        <v>56457</v>
      </c>
      <c r="N23" s="22">
        <v>38575</v>
      </c>
      <c r="O23" s="22">
        <v>61509</v>
      </c>
      <c r="P23" s="22">
        <v>84378</v>
      </c>
      <c r="R23" s="23">
        <f>SUM(E23:P23)</f>
        <v>514277.85</v>
      </c>
      <c r="S23" s="39">
        <f>W55</f>
        <v>-2123.4439948946283</v>
      </c>
      <c r="T23" s="40">
        <f>R23+S23</f>
        <v>512154.40600510535</v>
      </c>
      <c r="U23" s="41">
        <f>AVERAGE(E23:P23)</f>
        <v>42856.487499999996</v>
      </c>
    </row>
    <row r="24" spans="3:21" ht="13.5" thickBot="1">
      <c r="C24" s="14" t="s">
        <v>13</v>
      </c>
      <c r="E24" s="28">
        <v>-77993.58333333334</v>
      </c>
      <c r="F24" s="28">
        <f>-'[1]Perfomance Details'!D25</f>
        <v>-28960.1</v>
      </c>
      <c r="G24" s="28">
        <f>-'[1]Perfomance Details'!E25</f>
        <v>-51144.72000000001</v>
      </c>
      <c r="H24" s="28">
        <f>-'[1]Perfomance Details'!F25</f>
        <v>-31108.740000000005</v>
      </c>
      <c r="I24" s="28">
        <f>-'[1]Perfomance Details'!G25</f>
        <v>-40139.21</v>
      </c>
      <c r="J24" s="28">
        <f>-'[1]Perfomance Details'!H25</f>
        <v>-34151.130000000005</v>
      </c>
      <c r="K24" s="28">
        <f>-(495604-75681)/12</f>
        <v>-34993.583333333336</v>
      </c>
      <c r="L24" s="28">
        <f>-(495604-75681)/12</f>
        <v>-34993.583333333336</v>
      </c>
      <c r="M24" s="28">
        <f>-(495604-75681)/12</f>
        <v>-34993.583333333336</v>
      </c>
      <c r="N24" s="28">
        <f>-(495604-75681)/12</f>
        <v>-34993.583333333336</v>
      </c>
      <c r="O24" s="28">
        <f>-(495604-75681)/12</f>
        <v>-34993.583333333336</v>
      </c>
      <c r="P24" s="28">
        <f>-(495604-75681)/12-75681</f>
        <v>-110674.58333333334</v>
      </c>
      <c r="R24" s="29">
        <f>SUM(E24:P24)</f>
        <v>-549139.9833333333</v>
      </c>
      <c r="S24" s="58">
        <f>Z55</f>
        <v>-99317.33780787565</v>
      </c>
      <c r="T24" s="59">
        <f>R24+S24</f>
        <v>-648457.321141209</v>
      </c>
      <c r="U24" s="60">
        <f>AVERAGE(E24:P24)</f>
        <v>-45761.66527777777</v>
      </c>
    </row>
    <row r="25" spans="3:21" ht="13.5" thickTop="1">
      <c r="C25" s="14" t="s">
        <v>14</v>
      </c>
      <c r="E25" s="33">
        <f aca="true" t="shared" si="8" ref="E25:P25">SUM(E23:E24)</f>
        <v>-51650.56333333334</v>
      </c>
      <c r="F25" s="33">
        <f t="shared" si="8"/>
        <v>7211.459999999999</v>
      </c>
      <c r="G25" s="33">
        <f t="shared" si="8"/>
        <v>-48145.22000000001</v>
      </c>
      <c r="H25" s="33">
        <f t="shared" si="8"/>
        <v>14850.900000000001</v>
      </c>
      <c r="I25" s="33">
        <f t="shared" si="8"/>
        <v>21079.000000000007</v>
      </c>
      <c r="J25" s="33">
        <f t="shared" si="8"/>
        <v>-12981.210000000006</v>
      </c>
      <c r="K25" s="33">
        <f t="shared" si="8"/>
        <v>3783.4166666666642</v>
      </c>
      <c r="L25" s="33">
        <f t="shared" si="8"/>
        <v>5726.416666666664</v>
      </c>
      <c r="M25" s="33">
        <f t="shared" si="8"/>
        <v>21463.416666666664</v>
      </c>
      <c r="N25" s="33">
        <f t="shared" si="8"/>
        <v>3581.4166666666642</v>
      </c>
      <c r="O25" s="33">
        <f t="shared" si="8"/>
        <v>26515.416666666664</v>
      </c>
      <c r="P25" s="33">
        <f t="shared" si="8"/>
        <v>-26296.583333333343</v>
      </c>
      <c r="R25" s="34">
        <f>SUM(E25:P25)</f>
        <v>-34862.13333333336</v>
      </c>
      <c r="S25" s="61"/>
      <c r="T25" s="62">
        <f>T23+T24</f>
        <v>-136302.91513610363</v>
      </c>
      <c r="U25" s="63">
        <f>AVERAGE(E25:P25)</f>
        <v>-2905.17777777778</v>
      </c>
    </row>
    <row r="26" spans="2:21" ht="13.5">
      <c r="B26" s="14" t="s">
        <v>69</v>
      </c>
      <c r="E26" s="16"/>
      <c r="R26" s="19"/>
      <c r="T26" s="20"/>
      <c r="U26" s="14"/>
    </row>
    <row r="27" spans="3:21" ht="12.75" hidden="1">
      <c r="C27" s="14" t="s">
        <v>23</v>
      </c>
      <c r="E27" s="56" t="s">
        <v>24</v>
      </c>
      <c r="F27" s="56" t="s">
        <v>24</v>
      </c>
      <c r="G27" s="56" t="s">
        <v>24</v>
      </c>
      <c r="H27" s="56" t="s">
        <v>24</v>
      </c>
      <c r="I27" s="56" t="s">
        <v>24</v>
      </c>
      <c r="J27" s="56" t="s">
        <v>24</v>
      </c>
      <c r="K27" s="56" t="s">
        <v>24</v>
      </c>
      <c r="L27" s="56" t="s">
        <v>24</v>
      </c>
      <c r="M27" s="56" t="s">
        <v>24</v>
      </c>
      <c r="N27" s="56" t="s">
        <v>24</v>
      </c>
      <c r="O27" s="56" t="s">
        <v>24</v>
      </c>
      <c r="P27" s="56" t="s">
        <v>24</v>
      </c>
      <c r="R27" s="57" t="s">
        <v>24</v>
      </c>
      <c r="S27" s="39"/>
      <c r="T27" s="40"/>
      <c r="U27" s="41" t="e">
        <f>AVERAGE(E27:P27)</f>
        <v>#DIV/0!</v>
      </c>
    </row>
    <row r="28" spans="3:21" ht="12.75" hidden="1">
      <c r="C28" s="14" t="s">
        <v>28</v>
      </c>
      <c r="E28" s="56" t="s">
        <v>24</v>
      </c>
      <c r="F28" s="56" t="s">
        <v>24</v>
      </c>
      <c r="G28" s="56" t="s">
        <v>24</v>
      </c>
      <c r="H28" s="56" t="s">
        <v>24</v>
      </c>
      <c r="I28" s="56" t="s">
        <v>24</v>
      </c>
      <c r="J28" s="56" t="s">
        <v>24</v>
      </c>
      <c r="K28" s="56" t="s">
        <v>24</v>
      </c>
      <c r="L28" s="56" t="s">
        <v>24</v>
      </c>
      <c r="M28" s="56" t="s">
        <v>24</v>
      </c>
      <c r="N28" s="56" t="s">
        <v>24</v>
      </c>
      <c r="O28" s="56" t="s">
        <v>24</v>
      </c>
      <c r="P28" s="56" t="s">
        <v>24</v>
      </c>
      <c r="R28" s="57" t="s">
        <v>24</v>
      </c>
      <c r="S28" s="64"/>
      <c r="T28" s="65"/>
      <c r="U28" s="66" t="s">
        <v>24</v>
      </c>
    </row>
    <row r="29" spans="3:21" ht="12.75">
      <c r="C29" s="14" t="s">
        <v>26</v>
      </c>
      <c r="E29" s="22">
        <v>2309.28</v>
      </c>
      <c r="F29" s="22">
        <f>'[1]Perfomance Details'!D12</f>
        <v>17519.89</v>
      </c>
      <c r="G29" s="22">
        <f>'[1]Perfomance Details'!E12</f>
        <v>14975.43</v>
      </c>
      <c r="H29" s="22">
        <f>'[1]Perfomance Details'!F12</f>
        <v>7756</v>
      </c>
      <c r="I29" s="22">
        <f>'[1]Perfomance Details'!G12</f>
        <v>147.83</v>
      </c>
      <c r="J29" s="22">
        <f>'[1]Perfomance Details'!H12</f>
        <v>11895.18</v>
      </c>
      <c r="K29" s="22">
        <v>2803.9618356177266</v>
      </c>
      <c r="L29" s="22">
        <v>9499.218575201892</v>
      </c>
      <c r="M29" s="22">
        <v>2142.00269327728</v>
      </c>
      <c r="N29" s="22">
        <v>5108.682416758683</v>
      </c>
      <c r="O29" s="22">
        <v>13500.790058788652</v>
      </c>
      <c r="P29" s="22">
        <v>9690.40460182625</v>
      </c>
      <c r="R29" s="23">
        <f>SUM(E29:P29)</f>
        <v>97348.67018147047</v>
      </c>
      <c r="S29" s="39"/>
      <c r="T29" s="40">
        <f>R29+S29</f>
        <v>97348.67018147047</v>
      </c>
      <c r="U29" s="41">
        <f>AVERAGE(E29:P29)</f>
        <v>8112.389181789206</v>
      </c>
    </row>
    <row r="30" spans="3:21" ht="13.5" thickBot="1">
      <c r="C30" s="14" t="s">
        <v>13</v>
      </c>
      <c r="E30" s="28">
        <v>-6956.25</v>
      </c>
      <c r="F30" s="28">
        <f>-'[1]Perfomance Details'!D26</f>
        <v>-6956.25</v>
      </c>
      <c r="G30" s="28">
        <f>-'[1]Perfomance Details'!E26</f>
        <v>-7342.2</v>
      </c>
      <c r="H30" s="28">
        <f>-'[1]Perfomance Details'!F26</f>
        <v>-6956.25</v>
      </c>
      <c r="I30" s="28">
        <f>-'[1]Perfomance Details'!G26</f>
        <v>-6956.25</v>
      </c>
      <c r="J30" s="28">
        <f>-'[1]Perfomance Details'!H26</f>
        <v>-6956.25</v>
      </c>
      <c r="K30" s="28">
        <f aca="true" t="shared" si="9" ref="K30:P30">(-83475-7372)/12</f>
        <v>-7570.583333333333</v>
      </c>
      <c r="L30" s="28">
        <f t="shared" si="9"/>
        <v>-7570.583333333333</v>
      </c>
      <c r="M30" s="28">
        <f t="shared" si="9"/>
        <v>-7570.583333333333</v>
      </c>
      <c r="N30" s="28">
        <f t="shared" si="9"/>
        <v>-7570.583333333333</v>
      </c>
      <c r="O30" s="28">
        <f t="shared" si="9"/>
        <v>-7570.583333333333</v>
      </c>
      <c r="P30" s="28">
        <f t="shared" si="9"/>
        <v>-7570.583333333333</v>
      </c>
      <c r="R30" s="29">
        <f>SUM(E30:Q30)</f>
        <v>-87546.95</v>
      </c>
      <c r="S30" s="58"/>
      <c r="T30" s="59">
        <f>R30+S30</f>
        <v>-87546.95</v>
      </c>
      <c r="U30" s="60">
        <f>AVERAGE(E30:P30)</f>
        <v>-7295.579166666666</v>
      </c>
    </row>
    <row r="31" spans="3:21" ht="13.5" thickTop="1">
      <c r="C31" s="14" t="s">
        <v>14</v>
      </c>
      <c r="E31" s="33">
        <f aca="true" t="shared" si="10" ref="E31:P31">SUM(E29:E30)</f>
        <v>-4646.969999999999</v>
      </c>
      <c r="F31" s="33">
        <f t="shared" si="10"/>
        <v>10563.64</v>
      </c>
      <c r="G31" s="33">
        <f t="shared" si="10"/>
        <v>7633.2300000000005</v>
      </c>
      <c r="H31" s="33">
        <f t="shared" si="10"/>
        <v>799.75</v>
      </c>
      <c r="I31" s="33">
        <f t="shared" si="10"/>
        <v>-6808.42</v>
      </c>
      <c r="J31" s="33">
        <f t="shared" si="10"/>
        <v>4938.93</v>
      </c>
      <c r="K31" s="33">
        <f t="shared" si="10"/>
        <v>-4766.621497715607</v>
      </c>
      <c r="L31" s="33">
        <f t="shared" si="10"/>
        <v>1928.6352418685592</v>
      </c>
      <c r="M31" s="33">
        <f t="shared" si="10"/>
        <v>-5428.580640056053</v>
      </c>
      <c r="N31" s="33">
        <f t="shared" si="10"/>
        <v>-2461.90091657465</v>
      </c>
      <c r="O31" s="33">
        <f t="shared" si="10"/>
        <v>5930.206725455319</v>
      </c>
      <c r="P31" s="33">
        <f t="shared" si="10"/>
        <v>2119.8212684929176</v>
      </c>
      <c r="R31" s="34">
        <f>SUM(E31:P31)</f>
        <v>9801.72018147049</v>
      </c>
      <c r="S31" s="61"/>
      <c r="T31" s="62">
        <f>T29+T30</f>
        <v>9801.720181470475</v>
      </c>
      <c r="U31" s="63">
        <f>AVERAGE(E31:P31)</f>
        <v>816.8100151225408</v>
      </c>
    </row>
    <row r="32" spans="2:21" ht="13.5">
      <c r="B32" s="14" t="s">
        <v>70</v>
      </c>
      <c r="E32" s="16"/>
      <c r="R32" s="19"/>
      <c r="T32" s="20"/>
      <c r="U32" s="14"/>
    </row>
    <row r="33" spans="3:21" ht="12.75" hidden="1">
      <c r="C33" s="14" t="s">
        <v>23</v>
      </c>
      <c r="E33" s="56" t="s">
        <v>24</v>
      </c>
      <c r="F33" s="56" t="s">
        <v>24</v>
      </c>
      <c r="G33" s="56" t="s">
        <v>24</v>
      </c>
      <c r="H33" s="56" t="s">
        <v>24</v>
      </c>
      <c r="I33" s="56" t="s">
        <v>24</v>
      </c>
      <c r="J33" s="56" t="s">
        <v>24</v>
      </c>
      <c r="K33" s="56" t="s">
        <v>24</v>
      </c>
      <c r="L33" s="56" t="s">
        <v>24</v>
      </c>
      <c r="M33" s="56" t="s">
        <v>24</v>
      </c>
      <c r="N33" s="56" t="s">
        <v>24</v>
      </c>
      <c r="O33" s="56" t="s">
        <v>24</v>
      </c>
      <c r="P33" s="56" t="s">
        <v>24</v>
      </c>
      <c r="R33" s="57" t="s">
        <v>24</v>
      </c>
      <c r="S33" s="39"/>
      <c r="T33" s="40"/>
      <c r="U33" s="41" t="e">
        <f>AVERAGE(E33:P33)</f>
        <v>#DIV/0!</v>
      </c>
    </row>
    <row r="34" spans="3:21" ht="12.75" hidden="1">
      <c r="C34" s="14" t="s">
        <v>28</v>
      </c>
      <c r="E34" s="56" t="s">
        <v>24</v>
      </c>
      <c r="F34" s="56" t="s">
        <v>24</v>
      </c>
      <c r="G34" s="56" t="s">
        <v>24</v>
      </c>
      <c r="H34" s="56" t="s">
        <v>24</v>
      </c>
      <c r="I34" s="56" t="s">
        <v>24</v>
      </c>
      <c r="J34" s="56" t="s">
        <v>24</v>
      </c>
      <c r="K34" s="56" t="s">
        <v>24</v>
      </c>
      <c r="L34" s="56" t="s">
        <v>24</v>
      </c>
      <c r="M34" s="56" t="s">
        <v>24</v>
      </c>
      <c r="N34" s="56" t="s">
        <v>24</v>
      </c>
      <c r="O34" s="56" t="s">
        <v>24</v>
      </c>
      <c r="P34" s="56" t="s">
        <v>24</v>
      </c>
      <c r="R34" s="57" t="s">
        <v>24</v>
      </c>
      <c r="S34" s="64"/>
      <c r="T34" s="65"/>
      <c r="U34" s="66" t="s">
        <v>24</v>
      </c>
    </row>
    <row r="35" spans="3:21" ht="12.75">
      <c r="C35" s="14" t="s">
        <v>26</v>
      </c>
      <c r="E35" s="22">
        <v>8275.15</v>
      </c>
      <c r="F35" s="22">
        <f>'[1]Perfomance Details'!D13</f>
        <v>4314.07</v>
      </c>
      <c r="G35" s="22">
        <f>'[1]Perfomance Details'!E13</f>
        <v>5544.57</v>
      </c>
      <c r="H35" s="22">
        <f>'[1]Perfomance Details'!F13</f>
        <v>2905.32</v>
      </c>
      <c r="I35" s="22">
        <f>'[1]Perfomance Details'!G13</f>
        <v>5642.28</v>
      </c>
      <c r="J35" s="22">
        <f>'[1]Perfomance Details'!H13</f>
        <v>11251.45</v>
      </c>
      <c r="K35" s="22">
        <v>4343.283168166411</v>
      </c>
      <c r="L35" s="22">
        <v>3025.1694581366733</v>
      </c>
      <c r="M35" s="22">
        <v>2771.6838121393153</v>
      </c>
      <c r="N35" s="22">
        <v>7354.531884254976</v>
      </c>
      <c r="O35" s="22">
        <v>9441.641364010064</v>
      </c>
      <c r="P35" s="22">
        <v>8453.816188951057</v>
      </c>
      <c r="R35" s="23">
        <f>SUM(E35:P35)</f>
        <v>73322.9658756585</v>
      </c>
      <c r="S35" s="39"/>
      <c r="T35" s="40">
        <f>R35+S35</f>
        <v>73322.9658756585</v>
      </c>
      <c r="U35" s="41">
        <f>AVERAGE(E35:P35)</f>
        <v>6110.247156304875</v>
      </c>
    </row>
    <row r="36" spans="3:21" ht="13.5" thickBot="1">
      <c r="C36" s="14" t="s">
        <v>13</v>
      </c>
      <c r="E36" s="28">
        <v>-8012.74</v>
      </c>
      <c r="F36" s="28">
        <f>-'[1]Perfomance Details'!D27</f>
        <v>-8012.74</v>
      </c>
      <c r="G36" s="28">
        <f>-'[1]Perfomance Details'!E27</f>
        <v>-8012.74</v>
      </c>
      <c r="H36" s="28">
        <f>-'[1]Perfomance Details'!F27</f>
        <v>-8012.74</v>
      </c>
      <c r="I36" s="28">
        <f>-'[1]Perfomance Details'!G27</f>
        <v>-8012.74</v>
      </c>
      <c r="J36" s="28">
        <f>-'[1]Perfomance Details'!H27</f>
        <v>-8012.74</v>
      </c>
      <c r="K36" s="28">
        <f aca="true" t="shared" si="11" ref="K36:P36">-96153/12</f>
        <v>-8012.75</v>
      </c>
      <c r="L36" s="28">
        <f t="shared" si="11"/>
        <v>-8012.75</v>
      </c>
      <c r="M36" s="28">
        <f t="shared" si="11"/>
        <v>-8012.75</v>
      </c>
      <c r="N36" s="28">
        <f t="shared" si="11"/>
        <v>-8012.75</v>
      </c>
      <c r="O36" s="28">
        <f t="shared" si="11"/>
        <v>-8012.75</v>
      </c>
      <c r="P36" s="28">
        <f t="shared" si="11"/>
        <v>-8012.75</v>
      </c>
      <c r="R36" s="29">
        <f>SUM(E36:P36)</f>
        <v>-96152.94</v>
      </c>
      <c r="S36" s="58"/>
      <c r="T36" s="59">
        <f>R36+S36</f>
        <v>-96152.94</v>
      </c>
      <c r="U36" s="60">
        <f>AVERAGE(E36:P36)</f>
        <v>-8012.745</v>
      </c>
    </row>
    <row r="37" spans="3:21" ht="13.5" thickTop="1">
      <c r="C37" s="14" t="s">
        <v>14</v>
      </c>
      <c r="E37" s="33">
        <f aca="true" t="shared" si="12" ref="E37:P37">SUM(E35:E36)</f>
        <v>262.40999999999985</v>
      </c>
      <c r="F37" s="33">
        <f t="shared" si="12"/>
        <v>-3698.67</v>
      </c>
      <c r="G37" s="33">
        <f t="shared" si="12"/>
        <v>-2468.17</v>
      </c>
      <c r="H37" s="33">
        <f t="shared" si="12"/>
        <v>-5107.42</v>
      </c>
      <c r="I37" s="33">
        <f t="shared" si="12"/>
        <v>-2370.46</v>
      </c>
      <c r="J37" s="33">
        <f t="shared" si="12"/>
        <v>3238.710000000001</v>
      </c>
      <c r="K37" s="33">
        <f t="shared" si="12"/>
        <v>-3669.466831833589</v>
      </c>
      <c r="L37" s="33">
        <f t="shared" si="12"/>
        <v>-4987.580541863326</v>
      </c>
      <c r="M37" s="33">
        <f t="shared" si="12"/>
        <v>-5241.066187860684</v>
      </c>
      <c r="N37" s="33">
        <f t="shared" si="12"/>
        <v>-658.2181157450241</v>
      </c>
      <c r="O37" s="33">
        <f t="shared" si="12"/>
        <v>1428.8913640100636</v>
      </c>
      <c r="P37" s="33">
        <f t="shared" si="12"/>
        <v>441.0661889510575</v>
      </c>
      <c r="R37" s="34">
        <f>SUM(E37:P37)</f>
        <v>-22829.974124341497</v>
      </c>
      <c r="S37" s="61"/>
      <c r="T37" s="62">
        <f>T35+T36</f>
        <v>-22829.974124341505</v>
      </c>
      <c r="U37" s="63">
        <f>AVERAGE(E37:P37)</f>
        <v>-1902.4978436951249</v>
      </c>
    </row>
    <row r="38" spans="2:21" ht="12.75">
      <c r="B38" s="14" t="s">
        <v>29</v>
      </c>
      <c r="E38" s="16"/>
      <c r="R38" s="19"/>
      <c r="T38" s="20"/>
      <c r="U38" s="14"/>
    </row>
    <row r="39" spans="3:21" ht="13.5">
      <c r="C39" s="14" t="s">
        <v>71</v>
      </c>
      <c r="E39" s="22">
        <v>36649.94</v>
      </c>
      <c r="F39" s="22">
        <f>'[1]Perfomance Details'!D14</f>
        <v>7742.82</v>
      </c>
      <c r="G39" s="22">
        <f>'[1]Perfomance Details'!E14</f>
        <v>64883.01</v>
      </c>
      <c r="H39" s="22">
        <f>'[1]Perfomance Details'!F14</f>
        <v>89757.34</v>
      </c>
      <c r="I39" s="22">
        <f>'[1]Perfomance Details'!G14</f>
        <v>57892.53</v>
      </c>
      <c r="J39" s="22">
        <f>'[1]Perfomance Details'!H14</f>
        <v>71334.09</v>
      </c>
      <c r="K39" s="22">
        <f aca="true" t="shared" si="13" ref="K39:P39">-K40*1.15</f>
        <v>48494.35</v>
      </c>
      <c r="L39" s="22">
        <f t="shared" si="13"/>
        <v>48494.35</v>
      </c>
      <c r="M39" s="22">
        <f t="shared" si="13"/>
        <v>48494.35</v>
      </c>
      <c r="N39" s="22">
        <f t="shared" si="13"/>
        <v>48494.35</v>
      </c>
      <c r="O39" s="22">
        <f t="shared" si="13"/>
        <v>48494.35</v>
      </c>
      <c r="P39" s="22">
        <f t="shared" si="13"/>
        <v>48494.35</v>
      </c>
      <c r="R39" s="23">
        <f>SUM(E39:P39)</f>
        <v>619225.8299999998</v>
      </c>
      <c r="S39" s="39"/>
      <c r="T39" s="40">
        <f>R39</f>
        <v>619225.8299999998</v>
      </c>
      <c r="U39" s="41">
        <f>AVERAGE(F39:P39)</f>
        <v>52961.444545454535</v>
      </c>
    </row>
    <row r="40" spans="3:21" ht="13.5" thickBot="1">
      <c r="C40" s="14" t="s">
        <v>13</v>
      </c>
      <c r="E40" s="28">
        <f>-'[1]Perfomance Details'!C28</f>
        <v>-18161.73</v>
      </c>
      <c r="F40" s="28">
        <f>-'[1]Perfomance Details'!D28</f>
        <v>-30711.25</v>
      </c>
      <c r="G40" s="28">
        <f>-'[1]Perfomance Details'!E28</f>
        <v>-167773.32</v>
      </c>
      <c r="H40" s="28">
        <f>-'[1]Perfomance Details'!F28</f>
        <v>-19590.79</v>
      </c>
      <c r="I40" s="28">
        <f>-'[1]Perfomance Details'!G28</f>
        <v>-83040.434</v>
      </c>
      <c r="J40" s="28">
        <f>-'[1]Perfomance Details'!H28</f>
        <v>-60953.79</v>
      </c>
      <c r="K40" s="28">
        <f aca="true" t="shared" si="14" ref="K40:P40">-506028/12</f>
        <v>-42169</v>
      </c>
      <c r="L40" s="28">
        <f t="shared" si="14"/>
        <v>-42169</v>
      </c>
      <c r="M40" s="28">
        <f t="shared" si="14"/>
        <v>-42169</v>
      </c>
      <c r="N40" s="28">
        <f t="shared" si="14"/>
        <v>-42169</v>
      </c>
      <c r="O40" s="28">
        <f t="shared" si="14"/>
        <v>-42169</v>
      </c>
      <c r="P40" s="28">
        <f t="shared" si="14"/>
        <v>-42169</v>
      </c>
      <c r="R40" s="29">
        <f>SUM(E40:P40)</f>
        <v>-633245.314</v>
      </c>
      <c r="S40" s="58"/>
      <c r="T40" s="59">
        <f>R40+S40</f>
        <v>-633245.314</v>
      </c>
      <c r="U40" s="60">
        <f>AVERAGE(F40:P40)</f>
        <v>-55916.689454545456</v>
      </c>
    </row>
    <row r="41" spans="3:21" ht="13.5" thickTop="1">
      <c r="C41" s="14" t="s">
        <v>30</v>
      </c>
      <c r="E41" s="33">
        <f aca="true" t="shared" si="15" ref="E41:P41">SUM(E39:E40)</f>
        <v>18488.210000000003</v>
      </c>
      <c r="F41" s="33">
        <f t="shared" si="15"/>
        <v>-22968.43</v>
      </c>
      <c r="G41" s="33">
        <f t="shared" si="15"/>
        <v>-102890.31</v>
      </c>
      <c r="H41" s="33">
        <f t="shared" si="15"/>
        <v>70166.54999999999</v>
      </c>
      <c r="I41" s="33">
        <f t="shared" si="15"/>
        <v>-25147.903999999995</v>
      </c>
      <c r="J41" s="33">
        <f t="shared" si="15"/>
        <v>10380.299999999996</v>
      </c>
      <c r="K41" s="33">
        <f t="shared" si="15"/>
        <v>6325.3499999999985</v>
      </c>
      <c r="L41" s="33">
        <f t="shared" si="15"/>
        <v>6325.3499999999985</v>
      </c>
      <c r="M41" s="33">
        <f t="shared" si="15"/>
        <v>6325.3499999999985</v>
      </c>
      <c r="N41" s="33">
        <f t="shared" si="15"/>
        <v>6325.3499999999985</v>
      </c>
      <c r="O41" s="33">
        <f t="shared" si="15"/>
        <v>6325.3499999999985</v>
      </c>
      <c r="P41" s="33">
        <f t="shared" si="15"/>
        <v>6325.3499999999985</v>
      </c>
      <c r="R41" s="34">
        <f>SUM(E41:P41)</f>
        <v>-14019.484000000019</v>
      </c>
      <c r="S41" s="61"/>
      <c r="T41" s="62">
        <f>T39+T40</f>
        <v>-14019.484000000171</v>
      </c>
      <c r="U41" s="63">
        <f>AVERAGE(F41:P41)</f>
        <v>-2955.2449090909095</v>
      </c>
    </row>
    <row r="42" spans="2:21" ht="12.75">
      <c r="B42" s="14" t="s">
        <v>31</v>
      </c>
      <c r="E42" s="16"/>
      <c r="F42" s="45"/>
      <c r="G42" s="45"/>
      <c r="H42" s="45"/>
      <c r="I42" s="45"/>
      <c r="J42" s="45"/>
      <c r="K42" s="45"/>
      <c r="L42" s="18"/>
      <c r="M42" s="18"/>
      <c r="N42" s="18"/>
      <c r="O42" s="18"/>
      <c r="P42" s="18"/>
      <c r="R42" s="19"/>
      <c r="S42" s="67"/>
      <c r="T42" s="20"/>
      <c r="U42" s="18"/>
    </row>
    <row r="43" spans="3:21" ht="12.75">
      <c r="C43" s="14" t="s">
        <v>12</v>
      </c>
      <c r="E43" s="22"/>
      <c r="F43" s="22">
        <f>'[1]Perfomance Details'!D15</f>
        <v>-1643.2</v>
      </c>
      <c r="G43" s="22">
        <f>'[1]Perfomance Details'!E15</f>
        <v>-1892.25</v>
      </c>
      <c r="H43" s="22">
        <f>'[1]Perfomance Details'!F15</f>
        <v>-2077.35</v>
      </c>
      <c r="I43" s="22">
        <f>'[1]Perfomance Details'!G15</f>
        <v>0</v>
      </c>
      <c r="J43" s="22">
        <f>'[1]Perfomance Details'!H15</f>
        <v>-4710.97</v>
      </c>
      <c r="K43" s="22"/>
      <c r="L43" s="68"/>
      <c r="M43" s="68"/>
      <c r="N43" s="68"/>
      <c r="O43" s="68"/>
      <c r="P43" s="22">
        <v>0</v>
      </c>
      <c r="R43" s="23">
        <f>SUM(E43:P43)</f>
        <v>-10323.77</v>
      </c>
      <c r="S43" s="39">
        <f>-R43</f>
        <v>10323.77</v>
      </c>
      <c r="T43" s="40">
        <f>R43+S43</f>
        <v>0</v>
      </c>
      <c r="U43" s="41"/>
    </row>
    <row r="44" spans="3:21" ht="13.5" thickBot="1">
      <c r="C44" s="14" t="s">
        <v>13</v>
      </c>
      <c r="E44" s="28">
        <v>-11292.18</v>
      </c>
      <c r="F44" s="28">
        <f>-'[1]Perfomance Details'!D29</f>
        <v>-11965.28</v>
      </c>
      <c r="G44" s="28">
        <f>-'[1]Perfomance Details'!E29</f>
        <v>-18773.15</v>
      </c>
      <c r="H44" s="28">
        <f>-'[1]Perfomance Details'!F29</f>
        <v>-18042.81</v>
      </c>
      <c r="I44" s="28">
        <f>-'[1]Perfomance Details'!G29</f>
        <v>-44366.29</v>
      </c>
      <c r="J44" s="28">
        <f>-'[1]Perfomance Details'!H29</f>
        <v>-11897.29</v>
      </c>
      <c r="K44" s="28">
        <f>-(571704-14495-15000-51899-228028+1227)/12</f>
        <v>-21959.083333333332</v>
      </c>
      <c r="L44" s="28">
        <f>-(571704-14495-15000-51899-228028+1227)/12</f>
        <v>-21959.083333333332</v>
      </c>
      <c r="M44" s="28">
        <f>-(571704-14495-15000-51899-228028+1227)/12</f>
        <v>-21959.083333333332</v>
      </c>
      <c r="N44" s="28">
        <f>-(571704-14495-15000-51899-228028+1227)/12</f>
        <v>-21959.083333333332</v>
      </c>
      <c r="O44" s="28">
        <f>-(571704-14495-15000-51899-228028+1227)/12</f>
        <v>-21959.083333333332</v>
      </c>
      <c r="P44" s="28">
        <f>-(571704-14495-15000-51899-228028+1227)/12-51899-228028+1227+12974.75-306.75+31262</f>
        <v>-256729.0833333333</v>
      </c>
      <c r="R44" s="29">
        <f>SUM(E44:P44)</f>
        <v>-482861.5</v>
      </c>
      <c r="S44" s="58">
        <f>-R44</f>
        <v>482861.5</v>
      </c>
      <c r="T44" s="69">
        <f>R44+S44</f>
        <v>0</v>
      </c>
      <c r="U44" s="60">
        <f>AVERAGE(E44:P44)</f>
        <v>-40238.458333333336</v>
      </c>
    </row>
    <row r="45" spans="1:26" s="73" customFormat="1" ht="13.5" thickTop="1">
      <c r="A45" s="70"/>
      <c r="B45" s="71"/>
      <c r="C45" s="72" t="s">
        <v>14</v>
      </c>
      <c r="E45" s="74">
        <f aca="true" t="shared" si="16" ref="E45:P45">SUM(E43:E44)</f>
        <v>-11292.18</v>
      </c>
      <c r="F45" s="74">
        <f t="shared" si="16"/>
        <v>-13608.480000000001</v>
      </c>
      <c r="G45" s="74">
        <f t="shared" si="16"/>
        <v>-20665.4</v>
      </c>
      <c r="H45" s="74">
        <f t="shared" si="16"/>
        <v>-20120.16</v>
      </c>
      <c r="I45" s="74">
        <f t="shared" si="16"/>
        <v>-44366.29</v>
      </c>
      <c r="J45" s="74">
        <f t="shared" si="16"/>
        <v>-16608.260000000002</v>
      </c>
      <c r="K45" s="74">
        <f t="shared" si="16"/>
        <v>-21959.083333333332</v>
      </c>
      <c r="L45" s="74">
        <f t="shared" si="16"/>
        <v>-21959.083333333332</v>
      </c>
      <c r="M45" s="74">
        <f t="shared" si="16"/>
        <v>-21959.083333333332</v>
      </c>
      <c r="N45" s="74">
        <f t="shared" si="16"/>
        <v>-21959.083333333332</v>
      </c>
      <c r="O45" s="74">
        <f t="shared" si="16"/>
        <v>-21959.083333333332</v>
      </c>
      <c r="P45" s="74">
        <f t="shared" si="16"/>
        <v>-256729.0833333333</v>
      </c>
      <c r="Q45" s="75"/>
      <c r="R45" s="76">
        <f>SUM(R43:R44)</f>
        <v>-493185.27</v>
      </c>
      <c r="S45" s="77">
        <f>SUM(S43:S44)</f>
        <v>493185.27</v>
      </c>
      <c r="T45" s="43">
        <f>R45+S45</f>
        <v>0</v>
      </c>
      <c r="U45" s="78">
        <f>AVERAGE(E45:P45)</f>
        <v>-41098.7725</v>
      </c>
      <c r="Z45" s="79"/>
    </row>
    <row r="46" spans="1:21" ht="12.75">
      <c r="A46" s="13" t="s">
        <v>32</v>
      </c>
      <c r="E46" s="16"/>
      <c r="R46" s="19"/>
      <c r="T46" s="20"/>
      <c r="U46" s="14"/>
    </row>
    <row r="47" spans="2:21" ht="12.75">
      <c r="B47" s="14" t="s">
        <v>33</v>
      </c>
      <c r="E47" s="16"/>
      <c r="R47" s="19"/>
      <c r="T47" s="20"/>
      <c r="U47" s="14"/>
    </row>
    <row r="48" spans="3:21" ht="12.75">
      <c r="C48" s="14" t="s">
        <v>12</v>
      </c>
      <c r="E48" s="22">
        <v>1040.73</v>
      </c>
      <c r="F48" s="22">
        <f>'[1]Perfomance Details'!D10</f>
        <v>0</v>
      </c>
      <c r="G48" s="22">
        <f>'[1]Perfomance Details'!E10</f>
        <v>33968.520000000004</v>
      </c>
      <c r="H48" s="22">
        <f>'[1]Perfomance Details'!F10</f>
        <v>16718.25</v>
      </c>
      <c r="I48" s="22">
        <f>'[1]Perfomance Details'!G10</f>
        <v>7967.1</v>
      </c>
      <c r="J48" s="22">
        <f>'[1]Perfomance Details'!H10</f>
        <v>29504.11</v>
      </c>
      <c r="K48" s="22">
        <v>21890</v>
      </c>
      <c r="L48" s="22">
        <v>21890</v>
      </c>
      <c r="M48" s="22">
        <v>21890</v>
      </c>
      <c r="N48" s="22">
        <v>21890</v>
      </c>
      <c r="O48" s="22">
        <v>21890</v>
      </c>
      <c r="P48" s="22">
        <v>21890</v>
      </c>
      <c r="R48" s="23">
        <f>SUM(E48:P48)</f>
        <v>220538.71000000002</v>
      </c>
      <c r="S48" s="39">
        <f>W57</f>
        <v>-800.0102754890526</v>
      </c>
      <c r="T48" s="40">
        <f>R48+S48</f>
        <v>219738.69972451098</v>
      </c>
      <c r="U48" s="41">
        <f>AVERAGE(H48:P48)</f>
        <v>20614.384444444444</v>
      </c>
    </row>
    <row r="49" spans="3:21" ht="13.5" thickBot="1">
      <c r="C49" s="14" t="s">
        <v>13</v>
      </c>
      <c r="E49" s="28">
        <v>-4489.95</v>
      </c>
      <c r="F49" s="28">
        <f>-'[1]Perfomance Details'!D24</f>
        <v>-4489.95</v>
      </c>
      <c r="G49" s="28">
        <f>-'[1]Perfomance Details'!E24</f>
        <v>-4489.95</v>
      </c>
      <c r="H49" s="28">
        <f>-'[1]Perfomance Details'!F24</f>
        <v>-4489.95</v>
      </c>
      <c r="I49" s="28">
        <f>-'[1]Perfomance Details'!G24</f>
        <v>-4489.95</v>
      </c>
      <c r="J49" s="28">
        <f>-'[1]Perfomance Details'!H24</f>
        <v>-4489.95</v>
      </c>
      <c r="K49" s="28">
        <f>-53879/12</f>
        <v>-4489.916666666667</v>
      </c>
      <c r="L49" s="28">
        <f>-53879/12</f>
        <v>-4489.916666666667</v>
      </c>
      <c r="M49" s="28">
        <f>-53879/12</f>
        <v>-4489.916666666667</v>
      </c>
      <c r="N49" s="28">
        <f>-53879/12</f>
        <v>-4489.916666666667</v>
      </c>
      <c r="O49" s="28">
        <f>-53879/12</f>
        <v>-4489.916666666667</v>
      </c>
      <c r="P49" s="28">
        <f>-53879/12-153010</f>
        <v>-157499.91666666666</v>
      </c>
      <c r="R49" s="29">
        <f>SUM(E49:P49)</f>
        <v>-206889.19999999998</v>
      </c>
      <c r="S49" s="58">
        <f>Z57</f>
        <v>-37417.93566091235</v>
      </c>
      <c r="T49" s="59">
        <f>R49+S49</f>
        <v>-244307.13566091232</v>
      </c>
      <c r="U49" s="60">
        <f>AVERAGE(H49:P49)</f>
        <v>-21491.038888888885</v>
      </c>
    </row>
    <row r="50" spans="3:21" ht="13.5" thickTop="1">
      <c r="C50" s="14" t="s">
        <v>14</v>
      </c>
      <c r="E50" s="33">
        <f aca="true" t="shared" si="17" ref="E50:P50">E48+E49</f>
        <v>-3449.22</v>
      </c>
      <c r="F50" s="33">
        <f t="shared" si="17"/>
        <v>-4489.95</v>
      </c>
      <c r="G50" s="33">
        <f t="shared" si="17"/>
        <v>29478.570000000003</v>
      </c>
      <c r="H50" s="33">
        <f t="shared" si="17"/>
        <v>12228.3</v>
      </c>
      <c r="I50" s="33">
        <f t="shared" si="17"/>
        <v>3477.1500000000005</v>
      </c>
      <c r="J50" s="33">
        <f t="shared" si="17"/>
        <v>25014.16</v>
      </c>
      <c r="K50" s="33">
        <f t="shared" si="17"/>
        <v>17400.083333333332</v>
      </c>
      <c r="L50" s="33">
        <f t="shared" si="17"/>
        <v>17400.083333333332</v>
      </c>
      <c r="M50" s="33">
        <f t="shared" si="17"/>
        <v>17400.083333333332</v>
      </c>
      <c r="N50" s="33">
        <f t="shared" si="17"/>
        <v>17400.083333333332</v>
      </c>
      <c r="O50" s="33">
        <f t="shared" si="17"/>
        <v>17400.083333333332</v>
      </c>
      <c r="P50" s="33">
        <f t="shared" si="17"/>
        <v>-135609.91666666666</v>
      </c>
      <c r="R50" s="34">
        <f>SUM(E50:P50)</f>
        <v>13649.51000000001</v>
      </c>
      <c r="S50" s="61"/>
      <c r="T50" s="62">
        <f>T48+T49</f>
        <v>-24568.435936401336</v>
      </c>
      <c r="U50" s="63">
        <f>AVERAGE(E50:P50)</f>
        <v>1137.4591666666674</v>
      </c>
    </row>
    <row r="51" spans="5:26" ht="7.5" customHeight="1"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R51" s="18"/>
      <c r="S51" s="18"/>
      <c r="T51" s="18"/>
      <c r="U51" s="18"/>
      <c r="Z51" s="80"/>
    </row>
    <row r="52" spans="5:26" ht="6" customHeight="1"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R52" s="18"/>
      <c r="S52" s="18"/>
      <c r="T52" s="18"/>
      <c r="U52" s="18"/>
      <c r="V52" s="81"/>
      <c r="W52" s="81"/>
      <c r="X52" s="81"/>
      <c r="Y52" s="81"/>
      <c r="Z52" s="82"/>
    </row>
    <row r="53" spans="2:28" ht="13.5">
      <c r="B53" s="83">
        <v>1</v>
      </c>
      <c r="C53" s="84" t="s">
        <v>34</v>
      </c>
      <c r="D53" s="84"/>
      <c r="E53" s="85"/>
      <c r="F53" s="85"/>
      <c r="G53" s="85"/>
      <c r="H53" s="85"/>
      <c r="I53" s="85"/>
      <c r="J53" s="86"/>
      <c r="K53" s="86"/>
      <c r="L53" s="84"/>
      <c r="M53" s="84"/>
      <c r="N53" s="84"/>
      <c r="O53" s="84"/>
      <c r="P53" s="84"/>
      <c r="Q53" s="84"/>
      <c r="R53" s="84"/>
      <c r="S53" s="81"/>
      <c r="T53" s="87" t="s">
        <v>35</v>
      </c>
      <c r="U53" s="87"/>
      <c r="V53" s="87" t="s">
        <v>12</v>
      </c>
      <c r="W53" s="88">
        <f>R43</f>
        <v>-10323.77</v>
      </c>
      <c r="X53" s="87" t="s">
        <v>36</v>
      </c>
      <c r="Y53" s="87"/>
      <c r="Z53" s="89">
        <f>R44-S40</f>
        <v>-482861.5</v>
      </c>
      <c r="AA53" s="90"/>
      <c r="AB53" s="90"/>
    </row>
    <row r="54" spans="2:28" ht="13.5">
      <c r="B54" s="83">
        <v>2</v>
      </c>
      <c r="C54" s="84" t="s">
        <v>37</v>
      </c>
      <c r="D54" s="84"/>
      <c r="E54" s="85"/>
      <c r="F54" s="85"/>
      <c r="G54" s="85"/>
      <c r="H54" s="85"/>
      <c r="I54" s="85"/>
      <c r="J54" s="86"/>
      <c r="K54" s="86"/>
      <c r="L54" s="84"/>
      <c r="M54" s="84"/>
      <c r="N54" s="84"/>
      <c r="O54" s="84"/>
      <c r="P54" s="84"/>
      <c r="Q54" s="84"/>
      <c r="R54" s="91"/>
      <c r="S54" s="81"/>
      <c r="T54" s="92">
        <f>-R18</f>
        <v>1913782.1699999997</v>
      </c>
      <c r="U54" s="87"/>
      <c r="V54" s="87"/>
      <c r="W54" s="88">
        <f>Y54*$W$53</f>
        <v>-7400.315729616319</v>
      </c>
      <c r="X54" s="87"/>
      <c r="Y54" s="93">
        <f>T54/$T$69</f>
        <v>0.7168229948571422</v>
      </c>
      <c r="Z54" s="89">
        <f>Y54*$Z$53</f>
        <v>-346126.226531212</v>
      </c>
      <c r="AA54" s="90"/>
      <c r="AB54" s="90"/>
    </row>
    <row r="55" spans="2:28" ht="13.5">
      <c r="B55" s="83">
        <v>3</v>
      </c>
      <c r="C55" s="141" t="s">
        <v>38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96"/>
      <c r="T55" s="92">
        <f>-R24</f>
        <v>549139.9833333333</v>
      </c>
      <c r="U55" s="87"/>
      <c r="V55" s="87"/>
      <c r="W55" s="88">
        <f>Y55*$W$53</f>
        <v>-2123.4439948946283</v>
      </c>
      <c r="X55" s="87"/>
      <c r="Y55" s="93">
        <f>T55/$T$69</f>
        <v>0.2056849382439388</v>
      </c>
      <c r="Z55" s="89">
        <f>Y55*$Z$53</f>
        <v>-99317.33780787565</v>
      </c>
      <c r="AA55" s="90"/>
      <c r="AB55" s="90"/>
    </row>
    <row r="56" spans="2:28" ht="13.5">
      <c r="B56" s="83"/>
      <c r="C56" s="141" t="s">
        <v>39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95"/>
      <c r="O56" s="95"/>
      <c r="P56" s="95"/>
      <c r="Q56" s="95"/>
      <c r="R56" s="95"/>
      <c r="S56" s="96"/>
      <c r="T56" s="92"/>
      <c r="U56" s="87"/>
      <c r="V56" s="87"/>
      <c r="W56" s="88"/>
      <c r="X56" s="87"/>
      <c r="Y56" s="93"/>
      <c r="Z56" s="89"/>
      <c r="AA56" s="90"/>
      <c r="AB56" s="90"/>
    </row>
    <row r="57" spans="2:28" ht="23.25" customHeight="1">
      <c r="B57" s="83">
        <v>4</v>
      </c>
      <c r="C57" s="141" t="s">
        <v>40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84"/>
      <c r="O57" s="84"/>
      <c r="P57" s="84"/>
      <c r="Q57" s="97"/>
      <c r="R57" s="91"/>
      <c r="S57" s="96"/>
      <c r="T57" s="92">
        <f>-R49</f>
        <v>206889.19999999998</v>
      </c>
      <c r="U57" s="87"/>
      <c r="V57" s="87"/>
      <c r="W57" s="88">
        <f>Y57*$W$53</f>
        <v>-800.0102754890526</v>
      </c>
      <c r="X57" s="87"/>
      <c r="Y57" s="93">
        <f>T57/$T$69</f>
        <v>0.07749206689891895</v>
      </c>
      <c r="Z57" s="89">
        <f>Y57*$Z$53</f>
        <v>-37417.93566091235</v>
      </c>
      <c r="AA57" s="90"/>
      <c r="AB57" s="90"/>
    </row>
    <row r="58" spans="2:28" ht="13.5" customHeight="1">
      <c r="B58" s="83"/>
      <c r="C58" s="94" t="s">
        <v>41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84"/>
      <c r="O58" s="84"/>
      <c r="P58" s="84"/>
      <c r="Q58" s="97"/>
      <c r="R58" s="91"/>
      <c r="S58" s="96"/>
      <c r="T58" s="92"/>
      <c r="U58" s="87"/>
      <c r="V58" s="87"/>
      <c r="W58" s="88"/>
      <c r="X58" s="87"/>
      <c r="Y58" s="93"/>
      <c r="Z58" s="89"/>
      <c r="AA58" s="90"/>
      <c r="AB58" s="90"/>
    </row>
    <row r="59" spans="2:28" ht="21.75" customHeight="1">
      <c r="B59" s="83" t="s">
        <v>42</v>
      </c>
      <c r="C59" s="141" t="s">
        <v>43</v>
      </c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84"/>
      <c r="O59" s="84"/>
      <c r="P59" s="84"/>
      <c r="Q59" s="97"/>
      <c r="R59" s="91"/>
      <c r="S59" s="96"/>
      <c r="T59" s="92"/>
      <c r="U59" s="87"/>
      <c r="V59" s="87"/>
      <c r="W59" s="88">
        <f>Y59*$W$53</f>
        <v>0</v>
      </c>
      <c r="X59" s="87"/>
      <c r="Y59" s="93"/>
      <c r="Z59" s="89"/>
      <c r="AA59" s="90"/>
      <c r="AB59" s="90"/>
    </row>
    <row r="60" spans="1:26" s="99" customFormat="1" ht="11.25">
      <c r="A60" s="98"/>
      <c r="C60" s="100" t="s">
        <v>44</v>
      </c>
      <c r="G60" s="101"/>
      <c r="H60" s="101"/>
      <c r="I60" s="101"/>
      <c r="J60" s="101"/>
      <c r="K60" s="101"/>
      <c r="Q60" s="102"/>
      <c r="S60" s="103"/>
      <c r="T60" s="104"/>
      <c r="U60" s="105"/>
      <c r="V60" s="106"/>
      <c r="W60" s="106"/>
      <c r="X60" s="106"/>
      <c r="Y60" s="106"/>
      <c r="Z60" s="106"/>
    </row>
    <row r="61" spans="1:26" s="100" customFormat="1" ht="10.5">
      <c r="A61" s="107"/>
      <c r="C61" s="108" t="s">
        <v>45</v>
      </c>
      <c r="D61" s="109"/>
      <c r="E61" s="110" t="s">
        <v>6</v>
      </c>
      <c r="F61" s="110"/>
      <c r="G61" s="110"/>
      <c r="H61" s="111"/>
      <c r="I61" s="111"/>
      <c r="J61" s="111"/>
      <c r="K61" s="111"/>
      <c r="Q61" s="112"/>
      <c r="S61" s="113"/>
      <c r="T61" s="114"/>
      <c r="U61" s="115"/>
      <c r="V61" s="116"/>
      <c r="W61" s="116"/>
      <c r="X61" s="116"/>
      <c r="Y61" s="116"/>
      <c r="Z61" s="116"/>
    </row>
    <row r="62" spans="1:26" s="100" customFormat="1" ht="10.5">
      <c r="A62" s="107"/>
      <c r="C62" s="117" t="s">
        <v>46</v>
      </c>
      <c r="E62" s="118">
        <v>14291.03</v>
      </c>
      <c r="F62" s="118"/>
      <c r="G62" s="118"/>
      <c r="H62" s="111"/>
      <c r="I62" s="111"/>
      <c r="J62" s="111"/>
      <c r="K62" s="111"/>
      <c r="Q62" s="112"/>
      <c r="S62" s="113"/>
      <c r="T62" s="114"/>
      <c r="U62" s="115"/>
      <c r="V62" s="116"/>
      <c r="W62" s="116"/>
      <c r="X62" s="116"/>
      <c r="Y62" s="116"/>
      <c r="Z62" s="116"/>
    </row>
    <row r="63" spans="1:26" s="100" customFormat="1" ht="10.5">
      <c r="A63" s="107"/>
      <c r="C63" s="117" t="s">
        <v>47</v>
      </c>
      <c r="E63" s="118">
        <v>14345.53</v>
      </c>
      <c r="F63" s="118"/>
      <c r="G63" s="118"/>
      <c r="H63" s="111"/>
      <c r="I63" s="111"/>
      <c r="J63" s="111"/>
      <c r="K63" s="111"/>
      <c r="Q63" s="112"/>
      <c r="S63" s="113"/>
      <c r="T63" s="114"/>
      <c r="U63" s="115"/>
      <c r="V63" s="116"/>
      <c r="W63" s="116"/>
      <c r="X63" s="116"/>
      <c r="Y63" s="116"/>
      <c r="Z63" s="116"/>
    </row>
    <row r="64" spans="1:26" s="100" customFormat="1" ht="10.5">
      <c r="A64" s="107"/>
      <c r="C64" s="117" t="s">
        <v>48</v>
      </c>
      <c r="E64" s="118">
        <v>40392.22</v>
      </c>
      <c r="F64" s="118"/>
      <c r="G64" s="118"/>
      <c r="H64" s="111"/>
      <c r="I64" s="111"/>
      <c r="J64" s="111"/>
      <c r="K64" s="111"/>
      <c r="Q64" s="112"/>
      <c r="S64" s="113"/>
      <c r="T64" s="114"/>
      <c r="U64" s="116"/>
      <c r="V64" s="116"/>
      <c r="W64" s="116"/>
      <c r="X64" s="116"/>
      <c r="Y64" s="116"/>
      <c r="Z64" s="116"/>
    </row>
    <row r="65" spans="1:26" s="100" customFormat="1" ht="10.5">
      <c r="A65" s="107"/>
      <c r="C65" s="117" t="s">
        <v>49</v>
      </c>
      <c r="E65" s="118">
        <v>96473.08</v>
      </c>
      <c r="F65" s="118"/>
      <c r="G65" s="118"/>
      <c r="H65" s="111"/>
      <c r="I65" s="111"/>
      <c r="J65" s="111"/>
      <c r="K65" s="111"/>
      <c r="Q65" s="112"/>
      <c r="S65" s="113"/>
      <c r="T65" s="114"/>
      <c r="U65" s="116"/>
      <c r="V65" s="116"/>
      <c r="W65" s="116"/>
      <c r="X65" s="116"/>
      <c r="Y65" s="116"/>
      <c r="Z65" s="116"/>
    </row>
    <row r="66" spans="1:26" s="100" customFormat="1" ht="10.5">
      <c r="A66" s="107"/>
      <c r="C66" s="117" t="s">
        <v>50</v>
      </c>
      <c r="E66" s="118">
        <v>164494.774</v>
      </c>
      <c r="F66" s="118"/>
      <c r="G66" s="118"/>
      <c r="H66" s="111"/>
      <c r="I66" s="111"/>
      <c r="J66" s="111"/>
      <c r="K66" s="111"/>
      <c r="Q66" s="112"/>
      <c r="S66" s="113"/>
      <c r="T66" s="114"/>
      <c r="U66" s="116"/>
      <c r="V66" s="116"/>
      <c r="W66" s="116"/>
      <c r="X66" s="116"/>
      <c r="Y66" s="116"/>
      <c r="Z66" s="116"/>
    </row>
    <row r="67" spans="1:26" s="100" customFormat="1" ht="10.5">
      <c r="A67" s="107"/>
      <c r="C67" s="119" t="s">
        <v>51</v>
      </c>
      <c r="D67" s="109"/>
      <c r="E67" s="120">
        <v>38879.16</v>
      </c>
      <c r="F67" s="120"/>
      <c r="G67" s="120"/>
      <c r="H67" s="111"/>
      <c r="I67" s="111"/>
      <c r="J67" s="111"/>
      <c r="K67" s="111"/>
      <c r="Q67" s="112"/>
      <c r="S67" s="113"/>
      <c r="T67" s="114"/>
      <c r="U67" s="116"/>
      <c r="V67" s="116"/>
      <c r="W67" s="116"/>
      <c r="X67" s="116"/>
      <c r="Y67" s="116"/>
      <c r="Z67" s="116"/>
    </row>
    <row r="68" spans="1:26" s="100" customFormat="1" ht="10.5">
      <c r="A68" s="107"/>
      <c r="E68" s="121">
        <v>368875.794</v>
      </c>
      <c r="F68" s="121"/>
      <c r="G68" s="118"/>
      <c r="H68" s="111"/>
      <c r="I68" s="111"/>
      <c r="J68" s="111"/>
      <c r="K68" s="111"/>
      <c r="Q68" s="112"/>
      <c r="S68" s="113"/>
      <c r="T68" s="116"/>
      <c r="U68" s="116"/>
      <c r="V68" s="116"/>
      <c r="W68" s="116"/>
      <c r="X68" s="116"/>
      <c r="Y68" s="116"/>
      <c r="Z68" s="116"/>
    </row>
    <row r="69" spans="3:28" ht="12.75">
      <c r="C69" s="86" t="s">
        <v>52</v>
      </c>
      <c r="D69" s="84"/>
      <c r="E69" s="85"/>
      <c r="R69" s="122"/>
      <c r="T69" s="123">
        <f>SUM(T54:T59)</f>
        <v>2669811.353333333</v>
      </c>
      <c r="U69" s="124"/>
      <c r="V69" s="124"/>
      <c r="W69" s="88">
        <f>Y69*$W$53</f>
        <v>-10323.77</v>
      </c>
      <c r="X69" s="124"/>
      <c r="Y69" s="125">
        <f>SUM(Y54:Y59)</f>
        <v>1</v>
      </c>
      <c r="Z69" s="89">
        <f>SUM(Z54:Z57)</f>
        <v>-482861.5</v>
      </c>
      <c r="AA69" s="90"/>
      <c r="AB69" s="90"/>
    </row>
    <row r="70" spans="3:28" ht="12.75">
      <c r="C70" s="126" t="s">
        <v>53</v>
      </c>
      <c r="D70" s="84"/>
      <c r="E70" s="85">
        <f>50672-12668</f>
        <v>38004</v>
      </c>
      <c r="F70" s="127"/>
      <c r="R70" s="122"/>
      <c r="S70" s="71"/>
      <c r="T70" s="123"/>
      <c r="U70" s="124"/>
      <c r="V70" s="124"/>
      <c r="W70" s="128"/>
      <c r="X70" s="124"/>
      <c r="Y70" s="125"/>
      <c r="Z70" s="89">
        <f>S40</f>
        <v>0</v>
      </c>
      <c r="AA70" s="90"/>
      <c r="AB70" s="90"/>
    </row>
    <row r="71" spans="3:28" ht="12.75">
      <c r="C71" s="126" t="s">
        <v>54</v>
      </c>
      <c r="D71" s="84"/>
      <c r="E71" s="85">
        <f>228028-31262</f>
        <v>196766</v>
      </c>
      <c r="F71" s="127"/>
      <c r="T71" s="122"/>
      <c r="U71" s="90"/>
      <c r="V71" s="90"/>
      <c r="W71" s="90"/>
      <c r="X71" s="90"/>
      <c r="Y71" s="90"/>
      <c r="Z71" s="89">
        <f>Z70+Z69</f>
        <v>-482861.5</v>
      </c>
      <c r="AA71" s="90"/>
      <c r="AB71" s="90"/>
    </row>
    <row r="72" spans="3:28" ht="12.75">
      <c r="C72" s="129" t="s">
        <v>55</v>
      </c>
      <c r="D72" s="97"/>
      <c r="E72" s="130">
        <v>288199</v>
      </c>
      <c r="T72" s="122"/>
      <c r="U72" s="90"/>
      <c r="V72" s="90"/>
      <c r="W72" s="90"/>
      <c r="X72" s="90"/>
      <c r="Y72" s="90"/>
      <c r="Z72" s="89"/>
      <c r="AA72" s="90"/>
      <c r="AB72" s="90"/>
    </row>
    <row r="73" spans="3:28" ht="12.75">
      <c r="C73" s="131" t="s">
        <v>56</v>
      </c>
      <c r="D73" s="132"/>
      <c r="E73" s="133">
        <v>153010</v>
      </c>
      <c r="T73" s="122"/>
      <c r="U73" s="90"/>
      <c r="V73" s="90"/>
      <c r="W73" s="90"/>
      <c r="X73" s="90"/>
      <c r="Y73" s="90"/>
      <c r="Z73" s="89"/>
      <c r="AA73" s="90"/>
      <c r="AB73" s="90"/>
    </row>
    <row r="74" spans="3:28" ht="12.75">
      <c r="C74" s="134" t="s">
        <v>57</v>
      </c>
      <c r="D74" s="135"/>
      <c r="E74" s="136">
        <f>SUM(E70:E73)</f>
        <v>675979</v>
      </c>
      <c r="T74" s="122"/>
      <c r="U74" s="90"/>
      <c r="V74" s="90"/>
      <c r="W74" s="90"/>
      <c r="X74" s="90"/>
      <c r="Y74" s="90"/>
      <c r="Z74" s="80"/>
      <c r="AA74" s="90"/>
      <c r="AB74" s="90"/>
    </row>
    <row r="75" spans="3:28" ht="12.75">
      <c r="C75" s="127" t="s">
        <v>58</v>
      </c>
      <c r="D75" s="137"/>
      <c r="E75" s="138"/>
      <c r="T75" s="122"/>
      <c r="U75" s="90"/>
      <c r="V75" s="90"/>
      <c r="W75" s="90"/>
      <c r="X75" s="90"/>
      <c r="Y75" s="90"/>
      <c r="Z75" s="80"/>
      <c r="AA75" s="90"/>
      <c r="AB75" s="90"/>
    </row>
    <row r="76" spans="2:28" ht="13.5">
      <c r="B76" s="83" t="s">
        <v>42</v>
      </c>
      <c r="C76" s="84" t="s">
        <v>59</v>
      </c>
      <c r="T76" s="122"/>
      <c r="U76" s="90"/>
      <c r="V76" s="90"/>
      <c r="W76" s="90"/>
      <c r="X76" s="90"/>
      <c r="Y76" s="90"/>
      <c r="Z76" s="80"/>
      <c r="AA76" s="90"/>
      <c r="AB76" s="90"/>
    </row>
    <row r="77" spans="2:3" ht="13.5">
      <c r="B77" s="83" t="s">
        <v>60</v>
      </c>
      <c r="C77" s="84" t="s">
        <v>61</v>
      </c>
    </row>
  </sheetData>
  <mergeCells count="5">
    <mergeCell ref="A12:C12"/>
    <mergeCell ref="C55:R55"/>
    <mergeCell ref="C57:M57"/>
    <mergeCell ref="C59:M59"/>
    <mergeCell ref="C56:M56"/>
  </mergeCells>
  <printOptions/>
  <pageMargins left="0.59" right="0.38" top="1.1" bottom="0.52" header="0.36" footer="0.31"/>
  <pageSetup fitToHeight="1" fitToWidth="1" horizontalDpi="600" verticalDpi="600" orientation="landscape" paperSize="5" scale="59" r:id="rId1"/>
  <headerFooter alignWithMargins="0">
    <oddHeader>&amp;C&amp;"Arial,Bold Italic"&amp;12ITS Printing and Graphics Arts
Projected Financial Performance
2006 Base Case Scenario with 06/30/2006 Actual &amp;R&amp;"Arial,Bold"&amp;12ATTACHMENT C
12351</oddHeader>
    <oddFooter>&amp;L&amp;8
June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keesej</dc:creator>
  <cp:keywords/>
  <dc:description/>
  <cp:lastModifiedBy>Blossey, Linda</cp:lastModifiedBy>
  <cp:lastPrinted>2006-09-26T16:41:38Z</cp:lastPrinted>
  <dcterms:created xsi:type="dcterms:W3CDTF">2006-07-21T21:47:43Z</dcterms:created>
  <dcterms:modified xsi:type="dcterms:W3CDTF">2006-09-26T16:41:56Z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-323201401</vt:i4>
  </property>
  <property fmtid="{D5CDD505-2E9C-101B-9397-08002B2CF9AE}" pid="3" name="_EmailSubject">
    <vt:lpwstr>2006-0345 Printing and Graphic Arts Fund 2nd Qtr. Financial Report</vt:lpwstr>
  </property>
  <property fmtid="{D5CDD505-2E9C-101B-9397-08002B2CF9AE}" pid="4" name="_AuthorEmail">
    <vt:lpwstr>Susan.Neely@metrokc.gov</vt:lpwstr>
  </property>
  <property fmtid="{D5CDD505-2E9C-101B-9397-08002B2CF9AE}" pid="5" name="_AuthorEmailDisplayName">
    <vt:lpwstr>Neely, Susan</vt:lpwstr>
  </property>
  <property fmtid="{D5CDD505-2E9C-101B-9397-08002B2CF9AE}" pid="6" name="_ReviewingToolsShownOnce">
    <vt:lpwstr/>
  </property>
</Properties>
</file>