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20" windowWidth="12120" windowHeight="8025" tabRatio="306" activeTab="0"/>
  </bookViews>
  <sheets>
    <sheet name="Sheet1" sheetId="1" r:id="rId1"/>
  </sheets>
  <definedNames>
    <definedName name="_xlnm.Print_Area" localSheetId="0">'Sheet1'!$A$1:$H$75</definedName>
  </definedNames>
  <calcPr fullCalcOnLoad="1"/>
</workbook>
</file>

<file path=xl/sharedStrings.xml><?xml version="1.0" encoding="utf-8"?>
<sst xmlns="http://schemas.openxmlformats.org/spreadsheetml/2006/main" count="66" uniqueCount="63">
  <si>
    <t>Non-Cx Financial Plan</t>
  </si>
  <si>
    <t xml:space="preserve">Revenues </t>
  </si>
  <si>
    <t>Total Revenues</t>
  </si>
  <si>
    <t xml:space="preserve">Expenditures </t>
  </si>
  <si>
    <t>Total Expenditures</t>
  </si>
  <si>
    <t>Estimated Underexpenditures</t>
  </si>
  <si>
    <t>Other Fund Transactions</t>
  </si>
  <si>
    <t>Total Other Fund Transactions</t>
  </si>
  <si>
    <t>Ending Fund Balance</t>
  </si>
  <si>
    <t>Less: Reserves &amp; Designations</t>
  </si>
  <si>
    <t>Total Reserves &amp; Designations</t>
  </si>
  <si>
    <t>Ending Undesignated Fund Balance</t>
  </si>
  <si>
    <t xml:space="preserve">Financial Plan Notes: </t>
  </si>
  <si>
    <t>2005 Estimated</t>
  </si>
  <si>
    <r>
      <t>2002  Actual</t>
    </r>
    <r>
      <rPr>
        <b/>
        <vertAlign val="superscript"/>
        <sz val="12"/>
        <rFont val="Times New Roman"/>
        <family val="1"/>
      </rPr>
      <t xml:space="preserve"> </t>
    </r>
  </si>
  <si>
    <t>2003 Adopted</t>
  </si>
  <si>
    <t>2006 Estimated</t>
  </si>
  <si>
    <t>2003 Estimated</t>
  </si>
  <si>
    <t>·  Fee Receipts</t>
  </si>
  <si>
    <t>·  Other Revenue</t>
  </si>
  <si>
    <t>·  Investment Interest</t>
  </si>
  <si>
    <t>·  Operating Contingency</t>
  </si>
  <si>
    <t>·  Salaries and Benefits</t>
  </si>
  <si>
    <t>·  Interdepartmental</t>
  </si>
  <si>
    <t>·  Encumbrance Carryover (Abatement Subfund)</t>
  </si>
  <si>
    <t>·  2003.2 Omnibus Supplemental (Tech. correction)</t>
  </si>
  <si>
    <t>·  Reserve for Staff Reductions</t>
  </si>
  <si>
    <t>·  Reserve for Revenue Shortfall</t>
  </si>
  <si>
    <t>·  Reserve for Fee Waivers and Unanticipated</t>
  </si>
  <si>
    <t>* GAAP Adjustment</t>
  </si>
  <si>
    <t>Form 5</t>
  </si>
  <si>
    <t>2004 Department Proposed Budget</t>
  </si>
  <si>
    <t>Department of Development and Environmental Services</t>
  </si>
  <si>
    <t>2004 Proposed</t>
  </si>
  <si>
    <t>Fund/Number:  1340/ 0325</t>
  </si>
  <si>
    <t xml:space="preserve">Note 3: 2005 and 2006 expenditure estimates reflect a 5% inflationary factor.  </t>
  </si>
  <si>
    <t>Note 4: 2004 fee revenue reflects the 5% fee increase and fee restructuring per the Title 27 legislation adopted June 16,2003.</t>
  </si>
  <si>
    <t xml:space="preserve">Note 5: The 2005 fee revenue estimate includes the 5% maximum fee increase per the Title 27 legislation adopted June 16, 2003.  </t>
  </si>
  <si>
    <t xml:space="preserve">Note 7: The "Capital and Other" category of expenditures includes the cost of general obligation bonds to fund technology needs, intracounty contributions, and special budgetary accounts.  </t>
  </si>
  <si>
    <t>·  Supplies and Contracts - Note 8</t>
  </si>
  <si>
    <t>·  Capital and Other - Note 7</t>
  </si>
  <si>
    <t xml:space="preserve">Date Revised: </t>
  </si>
  <si>
    <t>Note 2: 2003 Estimate is per DDES as of 8/21/2003.</t>
  </si>
  <si>
    <t>* Abatement subfund balance</t>
  </si>
  <si>
    <t>* ORPP &amp; other carryforwards</t>
  </si>
  <si>
    <t>·  Reserve for Technology Replacements - Note 6</t>
  </si>
  <si>
    <r>
      <t>Beginning Fund Balance</t>
    </r>
    <r>
      <rPr>
        <sz val="12"/>
        <rFont val="Times New Roman"/>
        <family val="1"/>
      </rPr>
      <t xml:space="preserve"> - Note 1</t>
    </r>
  </si>
  <si>
    <t xml:space="preserve">Note 1: 2002 Actuals are from the 2002 CAFR.  The 2002 ending fund balance per the CAFR includes, for the first time, approximately $865K for the Abatement Fund, fund 1341, </t>
  </si>
  <si>
    <t xml:space="preserve">     and approximately $272K of ORPP carryover funds.</t>
  </si>
  <si>
    <t xml:space="preserve">Note 6:The Technology Reserve and Fee Waiver Reserves for 2005 and 2006 reflect a 5% inflationary factor, the same factor used for expenditures.  </t>
  </si>
  <si>
    <t xml:space="preserve">Note 8: The "Supplies and Contracts" category of expenditures includes the estimated cost of DDES's Strategic Technology Plan for 2004 through 2006.  The amounts projected </t>
  </si>
  <si>
    <t>Note 11: It is projected that CX funding to DDES will be cut by $500,000 per year in 2005 and 2006.</t>
  </si>
  <si>
    <t>·  CX Transfers - Note 11</t>
  </si>
  <si>
    <t>Note 10: DDES has experienced a boom in most major permitting processes in the last eleven months of 2002 and for 2003 to date. We project that this boom will last through 2004, but that</t>
  </si>
  <si>
    <t xml:space="preserve">Note 9: Annexations and incorporations are currently projected to have no effect on revenue in 2004, 2005, and 2006. </t>
  </si>
  <si>
    <t xml:space="preserve">     activity levels will then decrease by 4% in 2005, and by another 4% in 2006.  These percentages have been reflected in the revenue forecast.</t>
  </si>
  <si>
    <t xml:space="preserve">     to be spent for the STP by year are:  $600,188 in 2004, $1,092,359 in 2005, and $873,901 in 2006.   In 2005 and 2006, the estimates reflect a 5% inflationary factor.</t>
  </si>
  <si>
    <t>Note 12: No target fund balance has been set for DDES.  The undesignated fund balance is shown here as a percentage of annual revenue.</t>
  </si>
  <si>
    <t xml:space="preserve">Percentage - Undesignated Fund Balance - Note 12  </t>
  </si>
  <si>
    <t>Note 13: Salaries and Benefits cost for 2006 has been reduced by 8% to reflect the likely reductions in force that would result from economic reductions of 4% per year in 2005 &amp; 2006.</t>
  </si>
  <si>
    <t>·  Abatement subfund fund balance</t>
  </si>
  <si>
    <t>Prepared By:  Dana Ritter/Steve Broz</t>
  </si>
  <si>
    <t>11/05/02003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</si>
</sst>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"/>
    <numFmt numFmtId="166" formatCode="_(* #,##0.0_);_(* \(#,##0.0\);_(* &quot;-&quot;??_);_(@_)"/>
    <numFmt numFmtId="167" formatCode="0.000%"/>
  </numFmts>
  <fonts count="20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i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24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38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38" fontId="4" fillId="0" borderId="0" xfId="0" applyNumberFormat="1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left"/>
    </xf>
    <xf numFmtId="38" fontId="3" fillId="0" borderId="0" xfId="0" applyNumberFormat="1" applyFont="1" applyAlignment="1">
      <alignment horizontal="right"/>
    </xf>
    <xf numFmtId="38" fontId="3" fillId="0" borderId="0" xfId="0" applyNumberFormat="1" applyFont="1" applyAlignment="1">
      <alignment horizontal="left"/>
    </xf>
    <xf numFmtId="38" fontId="3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7" fontId="2" fillId="0" borderId="0" xfId="21" applyFont="1" applyBorder="1" applyAlignment="1">
      <alignment horizontal="left" wrapText="1"/>
      <protection/>
    </xf>
    <xf numFmtId="38" fontId="3" fillId="0" borderId="0" xfId="0" applyNumberFormat="1" applyFont="1" applyBorder="1" applyAlignment="1">
      <alignment horizontal="center"/>
    </xf>
    <xf numFmtId="38" fontId="7" fillId="0" borderId="0" xfId="0" applyNumberFormat="1" applyFont="1" applyBorder="1" applyAlignment="1" quotePrefix="1">
      <alignment horizontal="center"/>
    </xf>
    <xf numFmtId="38" fontId="3" fillId="0" borderId="0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37" fontId="1" fillId="0" borderId="0" xfId="21" applyFont="1">
      <alignment/>
      <protection/>
    </xf>
    <xf numFmtId="38" fontId="6" fillId="0" borderId="0" xfId="21" applyNumberFormat="1" applyFont="1" applyBorder="1" applyAlignment="1">
      <alignment horizontal="centerContinuous" wrapText="1"/>
      <protection/>
    </xf>
    <xf numFmtId="38" fontId="3" fillId="0" borderId="0" xfId="0" applyNumberFormat="1" applyFont="1" applyBorder="1" applyAlignment="1">
      <alignment horizontal="centerContinuous" wrapText="1"/>
    </xf>
    <xf numFmtId="38" fontId="8" fillId="0" borderId="0" xfId="21" applyNumberFormat="1" applyFont="1" applyBorder="1" applyAlignment="1">
      <alignment horizontal="centerContinuous" wrapText="1"/>
      <protection/>
    </xf>
    <xf numFmtId="0" fontId="3" fillId="0" borderId="0" xfId="0" applyFont="1" applyBorder="1" applyAlignment="1">
      <alignment/>
    </xf>
    <xf numFmtId="37" fontId="9" fillId="0" borderId="1" xfId="21" applyFont="1" applyFill="1" applyBorder="1" applyAlignment="1">
      <alignment horizontal="left" wrapText="1"/>
      <protection/>
    </xf>
    <xf numFmtId="38" fontId="9" fillId="0" borderId="1" xfId="21" applyNumberFormat="1" applyFont="1" applyFill="1" applyBorder="1" applyAlignment="1">
      <alignment horizontal="centerContinuous" wrapText="1"/>
      <protection/>
    </xf>
    <xf numFmtId="0" fontId="3" fillId="0" borderId="0" xfId="0" applyFont="1" applyFill="1" applyAlignment="1">
      <alignment/>
    </xf>
    <xf numFmtId="37" fontId="9" fillId="0" borderId="2" xfId="21" applyFont="1" applyBorder="1" applyAlignment="1" quotePrefix="1">
      <alignment horizontal="left"/>
      <protection/>
    </xf>
    <xf numFmtId="38" fontId="6" fillId="0" borderId="2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37" fontId="9" fillId="0" borderId="3" xfId="21" applyFont="1" applyBorder="1" applyAlignment="1" quotePrefix="1">
      <alignment horizontal="left"/>
      <protection/>
    </xf>
    <xf numFmtId="38" fontId="6" fillId="0" borderId="4" xfId="15" applyNumberFormat="1" applyFont="1" applyBorder="1" applyAlignment="1">
      <alignment/>
    </xf>
    <xf numFmtId="37" fontId="6" fillId="0" borderId="3" xfId="21" applyFont="1" applyBorder="1" applyAlignment="1">
      <alignment horizontal="left"/>
      <protection/>
    </xf>
    <xf numFmtId="38" fontId="6" fillId="0" borderId="3" xfId="15" applyNumberFormat="1" applyFont="1" applyBorder="1" applyAlignment="1">
      <alignment/>
    </xf>
    <xf numFmtId="38" fontId="6" fillId="0" borderId="0" xfId="15" applyNumberFormat="1" applyFont="1" applyBorder="1" applyAlignment="1">
      <alignment/>
    </xf>
    <xf numFmtId="37" fontId="9" fillId="0" borderId="2" xfId="21" applyFont="1" applyBorder="1" applyAlignment="1">
      <alignment horizontal="left"/>
      <protection/>
    </xf>
    <xf numFmtId="38" fontId="9" fillId="0" borderId="2" xfId="15" applyNumberFormat="1" applyFont="1" applyBorder="1" applyAlignment="1">
      <alignment/>
    </xf>
    <xf numFmtId="37" fontId="9" fillId="0" borderId="2" xfId="21" applyFont="1" applyBorder="1" applyAlignment="1" quotePrefix="1">
      <alignment horizontal="left"/>
      <protection/>
    </xf>
    <xf numFmtId="38" fontId="6" fillId="0" borderId="5" xfId="15" applyNumberFormat="1" applyFont="1" applyBorder="1" applyAlignment="1">
      <alignment/>
    </xf>
    <xf numFmtId="38" fontId="6" fillId="0" borderId="6" xfId="15" applyNumberFormat="1" applyFont="1" applyBorder="1" applyAlignment="1">
      <alignment/>
    </xf>
    <xf numFmtId="0" fontId="9" fillId="0" borderId="7" xfId="0" applyFont="1" applyBorder="1" applyAlignment="1">
      <alignment horizontal="left"/>
    </xf>
    <xf numFmtId="37" fontId="9" fillId="0" borderId="8" xfId="21" applyFont="1" applyBorder="1" applyAlignment="1">
      <alignment horizontal="left"/>
      <protection/>
    </xf>
    <xf numFmtId="38" fontId="6" fillId="0" borderId="3" xfId="15" applyNumberFormat="1" applyFont="1" applyFill="1" applyBorder="1" applyAlignment="1">
      <alignment/>
    </xf>
    <xf numFmtId="38" fontId="6" fillId="0" borderId="9" xfId="15" applyNumberFormat="1" applyFont="1" applyBorder="1" applyAlignment="1">
      <alignment/>
    </xf>
    <xf numFmtId="38" fontId="6" fillId="0" borderId="9" xfId="15" applyNumberFormat="1" applyFont="1" applyFill="1" applyBorder="1" applyAlignment="1">
      <alignment/>
    </xf>
    <xf numFmtId="38" fontId="6" fillId="0" borderId="0" xfId="15" applyNumberFormat="1" applyFont="1" applyFill="1" applyBorder="1" applyAlignment="1">
      <alignment/>
    </xf>
    <xf numFmtId="37" fontId="9" fillId="0" borderId="7" xfId="21" applyFont="1" applyBorder="1" applyAlignment="1" quotePrefix="1">
      <alignment horizontal="left"/>
      <protection/>
    </xf>
    <xf numFmtId="38" fontId="6" fillId="0" borderId="2" xfId="0" applyNumberFormat="1" applyFont="1" applyBorder="1" applyAlignment="1">
      <alignment/>
    </xf>
    <xf numFmtId="38" fontId="6" fillId="0" borderId="5" xfId="15" applyNumberFormat="1" applyFont="1" applyFill="1" applyBorder="1" applyAlignment="1">
      <alignment/>
    </xf>
    <xf numFmtId="38" fontId="6" fillId="0" borderId="6" xfId="15" applyNumberFormat="1" applyFont="1" applyFill="1" applyBorder="1" applyAlignment="1">
      <alignment/>
    </xf>
    <xf numFmtId="38" fontId="6" fillId="0" borderId="2" xfId="15" applyNumberFormat="1" applyFont="1" applyFill="1" applyBorder="1" applyAlignment="1">
      <alignment/>
    </xf>
    <xf numFmtId="37" fontId="9" fillId="0" borderId="3" xfId="21" applyFont="1" applyBorder="1" applyAlignment="1" quotePrefix="1">
      <alignment horizontal="left"/>
      <protection/>
    </xf>
    <xf numFmtId="164" fontId="6" fillId="0" borderId="9" xfId="15" applyNumberFormat="1" applyFont="1" applyBorder="1" applyAlignment="1">
      <alignment/>
    </xf>
    <xf numFmtId="37" fontId="9" fillId="0" borderId="2" xfId="21" applyFont="1" applyBorder="1" applyAlignment="1">
      <alignment horizontal="left"/>
      <protection/>
    </xf>
    <xf numFmtId="37" fontId="9" fillId="0" borderId="10" xfId="21" applyFont="1" applyBorder="1" applyAlignment="1" quotePrefix="1">
      <alignment horizontal="left"/>
      <protection/>
    </xf>
    <xf numFmtId="38" fontId="9" fillId="0" borderId="1" xfId="15" applyNumberFormat="1" applyFont="1" applyBorder="1" applyAlignment="1">
      <alignment horizontal="right"/>
    </xf>
    <xf numFmtId="164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37" fontId="6" fillId="0" borderId="0" xfId="21" applyFont="1">
      <alignment/>
      <protection/>
    </xf>
    <xf numFmtId="38" fontId="6" fillId="0" borderId="0" xfId="21" applyNumberFormat="1" applyFont="1">
      <alignment/>
      <protection/>
    </xf>
    <xf numFmtId="37" fontId="9" fillId="0" borderId="0" xfId="21" applyFont="1" applyAlignment="1">
      <alignment horizontal="left"/>
      <protection/>
    </xf>
    <xf numFmtId="37" fontId="6" fillId="0" borderId="0" xfId="21" applyFont="1" applyAlignment="1">
      <alignment horizontal="left"/>
      <protection/>
    </xf>
    <xf numFmtId="38" fontId="3" fillId="0" borderId="0" xfId="21" applyNumberFormat="1" applyFont="1" applyBorder="1">
      <alignment/>
      <protection/>
    </xf>
    <xf numFmtId="38" fontId="12" fillId="0" borderId="0" xfId="21" applyNumberFormat="1" applyFont="1" applyBorder="1" applyAlignment="1" quotePrefix="1">
      <alignment horizontal="left" vertical="top"/>
      <protection/>
    </xf>
    <xf numFmtId="38" fontId="3" fillId="0" borderId="0" xfId="21" applyNumberFormat="1" applyFont="1">
      <alignment/>
      <protection/>
    </xf>
    <xf numFmtId="38" fontId="3" fillId="0" borderId="0" xfId="21" applyNumberFormat="1" applyFont="1" applyBorder="1" applyAlignment="1">
      <alignment horizontal="centerContinuous" wrapText="1"/>
      <protection/>
    </xf>
    <xf numFmtId="38" fontId="13" fillId="0" borderId="0" xfId="0" applyNumberFormat="1" applyFont="1" applyAlignment="1">
      <alignment horizontal="centerContinuous" wrapText="1"/>
    </xf>
    <xf numFmtId="38" fontId="3" fillId="0" borderId="0" xfId="0" applyNumberFormat="1" applyFont="1" applyAlignment="1">
      <alignment horizontal="centerContinuous" wrapText="1"/>
    </xf>
    <xf numFmtId="38" fontId="3" fillId="0" borderId="0" xfId="21" applyNumberFormat="1" applyFont="1" applyBorder="1" applyAlignment="1">
      <alignment horizontal="left" vertical="top"/>
      <protection/>
    </xf>
    <xf numFmtId="38" fontId="13" fillId="0" borderId="0" xfId="0" applyNumberFormat="1" applyFont="1" applyAlignment="1" quotePrefix="1">
      <alignment horizontal="left"/>
    </xf>
    <xf numFmtId="38" fontId="3" fillId="0" borderId="0" xfId="21" applyNumberFormat="1" applyFont="1" applyAlignment="1">
      <alignment horizontal="left" vertical="top"/>
      <protection/>
    </xf>
    <xf numFmtId="0" fontId="14" fillId="0" borderId="0" xfId="0" applyFont="1" applyAlignment="1">
      <alignment horizontal="centerContinuous"/>
    </xf>
    <xf numFmtId="0" fontId="15" fillId="0" borderId="0" xfId="0" applyFont="1" applyFill="1" applyAlignment="1">
      <alignment horizontal="centerContinuous"/>
    </xf>
    <xf numFmtId="38" fontId="6" fillId="0" borderId="11" xfId="15" applyNumberFormat="1" applyFont="1" applyBorder="1" applyAlignment="1">
      <alignment/>
    </xf>
    <xf numFmtId="38" fontId="6" fillId="2" borderId="1" xfId="15" applyNumberFormat="1" applyFont="1" applyFill="1" applyBorder="1" applyAlignment="1">
      <alignment/>
    </xf>
    <xf numFmtId="38" fontId="6" fillId="2" borderId="2" xfId="15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0" fontId="6" fillId="0" borderId="1" xfId="15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zoomScale="65" zoomScaleNormal="65" workbookViewId="0" topLeftCell="A26">
      <selection activeCell="B29" sqref="B29"/>
    </sheetView>
  </sheetViews>
  <sheetFormatPr defaultColWidth="9.140625" defaultRowHeight="12.75"/>
  <cols>
    <col min="1" max="1" width="47.28125" style="18" customWidth="1"/>
    <col min="2" max="2" width="16.57421875" style="13" customWidth="1"/>
    <col min="3" max="3" width="19.28125" style="14" customWidth="1"/>
    <col min="4" max="4" width="21.421875" style="15" customWidth="1"/>
    <col min="5" max="5" width="20.421875" style="15" customWidth="1"/>
    <col min="6" max="7" width="19.7109375" style="17" customWidth="1"/>
    <col min="8" max="16384" width="9.140625" style="3" customWidth="1"/>
  </cols>
  <sheetData>
    <row r="1" spans="1:7" ht="30">
      <c r="A1" s="78" t="s">
        <v>30</v>
      </c>
      <c r="B1" s="2"/>
      <c r="C1" s="2"/>
      <c r="D1" s="2"/>
      <c r="E1" s="2"/>
      <c r="F1" s="2"/>
      <c r="G1" s="2"/>
    </row>
    <row r="2" spans="1:7" ht="24.75" customHeight="1">
      <c r="A2" s="84" t="s">
        <v>32</v>
      </c>
      <c r="B2" s="2"/>
      <c r="C2" s="2"/>
      <c r="D2" s="2"/>
      <c r="E2" s="2"/>
      <c r="F2" s="2"/>
      <c r="G2" s="2"/>
    </row>
    <row r="3" spans="1:7" s="4" customFormat="1" ht="25.5" customHeight="1">
      <c r="A3" s="78" t="s">
        <v>0</v>
      </c>
      <c r="B3" s="1"/>
      <c r="C3" s="1"/>
      <c r="D3" s="1"/>
      <c r="E3" s="1"/>
      <c r="F3" s="1"/>
      <c r="G3" s="1"/>
    </row>
    <row r="4" spans="1:7" s="8" customFormat="1" ht="22.5">
      <c r="A4" s="79" t="s">
        <v>31</v>
      </c>
      <c r="B4" s="6"/>
      <c r="C4" s="5"/>
      <c r="D4" s="7"/>
      <c r="E4" s="6"/>
      <c r="F4" s="6"/>
      <c r="G4" s="6"/>
    </row>
    <row r="5" spans="1:7" s="8" customFormat="1" ht="20.25">
      <c r="A5" s="9"/>
      <c r="B5" s="10"/>
      <c r="C5" s="11"/>
      <c r="D5" s="4"/>
      <c r="E5" s="10"/>
      <c r="F5" s="10"/>
      <c r="G5" s="10"/>
    </row>
    <row r="6" spans="1:7" ht="20.25" customHeight="1">
      <c r="A6" s="12" t="s">
        <v>34</v>
      </c>
      <c r="F6" s="16"/>
      <c r="G6" s="16"/>
    </row>
    <row r="8" spans="1:19" ht="25.5">
      <c r="A8" s="19" t="s">
        <v>61</v>
      </c>
      <c r="B8" s="20"/>
      <c r="C8" s="21"/>
      <c r="D8" s="22"/>
      <c r="F8" s="23" t="s">
        <v>41</v>
      </c>
      <c r="G8" s="83" t="s">
        <v>62</v>
      </c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  <c r="S8" s="25"/>
    </row>
    <row r="9" spans="1:7" s="30" customFormat="1" ht="20.25">
      <c r="A9" s="26"/>
      <c r="B9" s="27"/>
      <c r="C9" s="28"/>
      <c r="D9" s="29"/>
      <c r="E9" s="27"/>
      <c r="F9" s="27"/>
      <c r="G9" s="27"/>
    </row>
    <row r="10" spans="1:7" s="33" customFormat="1" ht="15.75">
      <c r="A10" s="31"/>
      <c r="B10" s="32" t="s">
        <v>14</v>
      </c>
      <c r="C10" s="32" t="s">
        <v>15</v>
      </c>
      <c r="D10" s="32" t="s">
        <v>17</v>
      </c>
      <c r="E10" s="32" t="s">
        <v>33</v>
      </c>
      <c r="F10" s="32" t="s">
        <v>13</v>
      </c>
      <c r="G10" s="32" t="s">
        <v>16</v>
      </c>
    </row>
    <row r="11" spans="1:8" ht="27" customHeight="1">
      <c r="A11" s="34" t="s">
        <v>46</v>
      </c>
      <c r="B11" s="35">
        <f>1515538+215162</f>
        <v>1730700</v>
      </c>
      <c r="C11" s="35">
        <v>912993</v>
      </c>
      <c r="D11" s="35">
        <f>B34</f>
        <v>2277628</v>
      </c>
      <c r="E11" s="35">
        <f>D34</f>
        <v>4122739</v>
      </c>
      <c r="F11" s="35">
        <f>E34</f>
        <v>6275020</v>
      </c>
      <c r="G11" s="35">
        <f>F34</f>
        <v>6987146.2820000015</v>
      </c>
      <c r="H11" s="36"/>
    </row>
    <row r="12" spans="1:8" ht="21" customHeight="1">
      <c r="A12" s="37" t="s">
        <v>1</v>
      </c>
      <c r="B12" s="38"/>
      <c r="C12" s="38"/>
      <c r="D12" s="38"/>
      <c r="E12" s="38"/>
      <c r="F12" s="38"/>
      <c r="G12" s="38"/>
      <c r="H12" s="36"/>
    </row>
    <row r="13" spans="1:8" ht="21" customHeight="1">
      <c r="A13" s="40" t="s">
        <v>18</v>
      </c>
      <c r="B13" s="40">
        <v>20660148</v>
      </c>
      <c r="C13" s="40">
        <v>23210408</v>
      </c>
      <c r="D13" s="40">
        <f>25935908</f>
        <v>25935908</v>
      </c>
      <c r="E13" s="41">
        <f>27917354</f>
        <v>27917354</v>
      </c>
      <c r="F13" s="40">
        <f>(+E13*1.05)*0.96</f>
        <v>28140692.832000002</v>
      </c>
      <c r="G13" s="40">
        <f>(+F13)*0.96</f>
        <v>27015065.118720002</v>
      </c>
      <c r="H13" s="36"/>
    </row>
    <row r="14" spans="1:8" ht="21" customHeight="1">
      <c r="A14" s="40" t="s">
        <v>19</v>
      </c>
      <c r="B14" s="40">
        <v>1871882</v>
      </c>
      <c r="C14" s="40">
        <v>2349102</v>
      </c>
      <c r="D14" s="40">
        <v>2102946</v>
      </c>
      <c r="E14" s="41">
        <f>1548094</f>
        <v>1548094</v>
      </c>
      <c r="F14" s="40">
        <f>+E14</f>
        <v>1548094</v>
      </c>
      <c r="G14" s="40">
        <f>+F14</f>
        <v>1548094</v>
      </c>
      <c r="H14" s="36"/>
    </row>
    <row r="15" spans="1:8" ht="21" customHeight="1">
      <c r="A15" s="40" t="s">
        <v>20</v>
      </c>
      <c r="B15" s="40">
        <v>525717</v>
      </c>
      <c r="C15" s="41"/>
      <c r="D15" s="40"/>
      <c r="E15" s="41">
        <f>250000</f>
        <v>250000</v>
      </c>
      <c r="F15" s="40">
        <f>E15*1.05</f>
        <v>262500</v>
      </c>
      <c r="G15" s="40">
        <f>F15*1.05</f>
        <v>275625</v>
      </c>
      <c r="H15" s="36"/>
    </row>
    <row r="16" spans="1:8" ht="21" customHeight="1">
      <c r="A16" s="40" t="s">
        <v>21</v>
      </c>
      <c r="B16" s="40"/>
      <c r="C16" s="41">
        <v>975000</v>
      </c>
      <c r="D16" s="40">
        <v>975000</v>
      </c>
      <c r="E16" s="41">
        <v>975000</v>
      </c>
      <c r="F16" s="40">
        <v>975000</v>
      </c>
      <c r="G16" s="40">
        <v>975000</v>
      </c>
      <c r="H16" s="36"/>
    </row>
    <row r="17" spans="1:8" ht="21" customHeight="1">
      <c r="A17" s="40" t="s">
        <v>52</v>
      </c>
      <c r="B17" s="40">
        <v>3431716</v>
      </c>
      <c r="C17" s="41">
        <v>2948132</v>
      </c>
      <c r="D17" s="40">
        <f>2889169</f>
        <v>2889169</v>
      </c>
      <c r="E17" s="40">
        <f>2399169</f>
        <v>2399169</v>
      </c>
      <c r="F17" s="40">
        <f>2399169-500000</f>
        <v>1899169</v>
      </c>
      <c r="G17" s="40">
        <f>F17-500000</f>
        <v>1399169</v>
      </c>
      <c r="H17" s="36"/>
    </row>
    <row r="18" spans="1:8" ht="22.5" customHeight="1">
      <c r="A18" s="42" t="s">
        <v>2</v>
      </c>
      <c r="B18" s="43">
        <f aca="true" t="shared" si="0" ref="B18:G18">SUM(B12:B17)</f>
        <v>26489463</v>
      </c>
      <c r="C18" s="43">
        <f t="shared" si="0"/>
        <v>29482642</v>
      </c>
      <c r="D18" s="43">
        <f t="shared" si="0"/>
        <v>31903023</v>
      </c>
      <c r="E18" s="43">
        <f t="shared" si="0"/>
        <v>33089617</v>
      </c>
      <c r="F18" s="43">
        <f t="shared" si="0"/>
        <v>32825455.832000002</v>
      </c>
      <c r="G18" s="43">
        <f t="shared" si="0"/>
        <v>31212953.118720002</v>
      </c>
      <c r="H18" s="36"/>
    </row>
    <row r="19" spans="1:8" ht="24" customHeight="1">
      <c r="A19" s="37" t="s">
        <v>3</v>
      </c>
      <c r="B19" s="40"/>
      <c r="C19" s="38"/>
      <c r="D19" s="38"/>
      <c r="E19" s="38"/>
      <c r="F19" s="38"/>
      <c r="G19" s="38"/>
      <c r="H19" s="36"/>
    </row>
    <row r="20" spans="1:8" ht="24" customHeight="1">
      <c r="A20" s="40" t="s">
        <v>22</v>
      </c>
      <c r="B20" s="40">
        <v>-20163348</v>
      </c>
      <c r="C20" s="40">
        <v>-20077851</v>
      </c>
      <c r="D20" s="40">
        <f>-20065476</f>
        <v>-20065476</v>
      </c>
      <c r="E20" s="40">
        <f>-(16371682+4595718)</f>
        <v>-20967400</v>
      </c>
      <c r="F20" s="40">
        <f aca="true" t="shared" si="1" ref="F20:G22">+E20*1.05</f>
        <v>-22015770</v>
      </c>
      <c r="G20" s="40">
        <f>(+F20*1.05)*0.92</f>
        <v>-21267233.82</v>
      </c>
      <c r="H20" s="36"/>
    </row>
    <row r="21" spans="1:8" ht="24" customHeight="1">
      <c r="A21" s="40" t="s">
        <v>39</v>
      </c>
      <c r="B21" s="40">
        <v>-1306888</v>
      </c>
      <c r="C21" s="40">
        <v>-1632112</v>
      </c>
      <c r="D21" s="40">
        <v>-1632112</v>
      </c>
      <c r="E21" s="40">
        <f>-(248228+1467952)</f>
        <v>-1716180</v>
      </c>
      <c r="F21" s="40">
        <f>-(((248228+1467952)-600188)+1092359)*1.05</f>
        <v>-2318768.5500000003</v>
      </c>
      <c r="G21" s="40">
        <f>-(((((248228+1467952)-600188)*1.05))+873901)*1.05</f>
        <v>-2147977.23</v>
      </c>
      <c r="H21" s="36"/>
    </row>
    <row r="22" spans="1:8" ht="24" customHeight="1">
      <c r="A22" s="40" t="s">
        <v>23</v>
      </c>
      <c r="B22" s="40">
        <v>-4290606</v>
      </c>
      <c r="C22" s="40">
        <v>-5456409</v>
      </c>
      <c r="D22" s="40">
        <v>-5456409</v>
      </c>
      <c r="E22" s="40">
        <f>-(1048859+3577321)</f>
        <v>-4626180</v>
      </c>
      <c r="F22" s="40">
        <f t="shared" si="1"/>
        <v>-4857489</v>
      </c>
      <c r="G22" s="40">
        <f t="shared" si="1"/>
        <v>-5100363.45</v>
      </c>
      <c r="H22" s="36"/>
    </row>
    <row r="23" spans="1:8" ht="24" customHeight="1">
      <c r="A23" s="40" t="s">
        <v>40</v>
      </c>
      <c r="B23" s="40">
        <v>-102448</v>
      </c>
      <c r="C23" s="40">
        <v>-1714163</v>
      </c>
      <c r="D23" s="40">
        <v>-1714163</v>
      </c>
      <c r="E23" s="40">
        <f>-(572473+1096908+767459-31138)</f>
        <v>-2405702</v>
      </c>
      <c r="F23" s="40">
        <v>-1771302</v>
      </c>
      <c r="G23" s="40">
        <v>-1859867</v>
      </c>
      <c r="H23" s="36"/>
    </row>
    <row r="24" spans="1:8" ht="21" customHeight="1">
      <c r="A24" s="40" t="s">
        <v>21</v>
      </c>
      <c r="B24" s="40"/>
      <c r="C24" s="40">
        <v>-975000</v>
      </c>
      <c r="D24" s="40">
        <v>-975000</v>
      </c>
      <c r="E24" s="40">
        <f>-975000</f>
        <v>-975000</v>
      </c>
      <c r="F24" s="40">
        <v>-975000</v>
      </c>
      <c r="G24" s="40">
        <v>-975000</v>
      </c>
      <c r="H24" s="36"/>
    </row>
    <row r="25" spans="1:8" ht="21" customHeight="1">
      <c r="A25" s="40" t="s">
        <v>24</v>
      </c>
      <c r="B25" s="40"/>
      <c r="C25" s="40"/>
      <c r="D25" s="40">
        <v>-84230</v>
      </c>
      <c r="E25" s="41">
        <v>-75000</v>
      </c>
      <c r="F25" s="40">
        <v>-75000</v>
      </c>
      <c r="G25" s="40">
        <v>-75000</v>
      </c>
      <c r="H25" s="36"/>
    </row>
    <row r="26" spans="1:8" ht="21" customHeight="1">
      <c r="A26" s="40" t="s">
        <v>25</v>
      </c>
      <c r="B26" s="40"/>
      <c r="C26" s="40"/>
      <c r="D26" s="40">
        <v>-30522</v>
      </c>
      <c r="E26" s="41"/>
      <c r="F26" s="40"/>
      <c r="G26" s="40"/>
      <c r="H26" s="36"/>
    </row>
    <row r="27" spans="1:8" ht="20.25" customHeight="1">
      <c r="A27" s="44" t="s">
        <v>4</v>
      </c>
      <c r="B27" s="45">
        <f aca="true" t="shared" si="2" ref="B27:G27">SUM(B19:B26)</f>
        <v>-25863290</v>
      </c>
      <c r="C27" s="35">
        <f t="shared" si="2"/>
        <v>-29855535</v>
      </c>
      <c r="D27" s="35">
        <f t="shared" si="2"/>
        <v>-29957912</v>
      </c>
      <c r="E27" s="46">
        <f t="shared" si="2"/>
        <v>-30765462</v>
      </c>
      <c r="F27" s="35">
        <f t="shared" si="2"/>
        <v>-32013329.55</v>
      </c>
      <c r="G27" s="35">
        <f t="shared" si="2"/>
        <v>-31425441.5</v>
      </c>
      <c r="H27" s="36"/>
    </row>
    <row r="28" spans="1:8" ht="40.5" customHeight="1">
      <c r="A28" s="47" t="s">
        <v>5</v>
      </c>
      <c r="B28" s="82"/>
      <c r="C28" s="81"/>
      <c r="D28" s="81"/>
      <c r="E28" s="81"/>
      <c r="F28" s="81"/>
      <c r="G28" s="81"/>
      <c r="H28" s="36"/>
    </row>
    <row r="29" spans="1:8" ht="21" customHeight="1">
      <c r="A29" s="48" t="s">
        <v>6</v>
      </c>
      <c r="B29" s="49"/>
      <c r="C29" s="50"/>
      <c r="D29" s="41"/>
      <c r="E29" s="40"/>
      <c r="F29" s="38"/>
      <c r="G29" s="80"/>
      <c r="H29" s="36"/>
    </row>
    <row r="30" spans="1:8" ht="21" customHeight="1">
      <c r="A30" s="39" t="s">
        <v>43</v>
      </c>
      <c r="C30" s="50"/>
      <c r="D30" s="41">
        <f>-100000</f>
        <v>-100000</v>
      </c>
      <c r="E30" s="40">
        <v>-100000</v>
      </c>
      <c r="F30" s="40">
        <v>-100000</v>
      </c>
      <c r="G30" s="50">
        <v>-100000</v>
      </c>
      <c r="H30" s="36"/>
    </row>
    <row r="31" spans="1:8" ht="21" customHeight="1">
      <c r="A31" s="39" t="s">
        <v>44</v>
      </c>
      <c r="B31" s="51"/>
      <c r="C31" s="50"/>
      <c r="D31" s="41"/>
      <c r="E31" s="40">
        <v>-71874</v>
      </c>
      <c r="F31" s="40"/>
      <c r="G31" s="50"/>
      <c r="H31" s="36"/>
    </row>
    <row r="32" spans="1:8" ht="20.25" customHeight="1">
      <c r="A32" s="39" t="s">
        <v>29</v>
      </c>
      <c r="B32" s="54">
        <v>-79245</v>
      </c>
      <c r="C32" s="51"/>
      <c r="D32" s="52"/>
      <c r="E32" s="49"/>
      <c r="F32" s="49"/>
      <c r="G32" s="51"/>
      <c r="H32" s="36"/>
    </row>
    <row r="33" spans="1:8" ht="20.25" customHeight="1">
      <c r="A33" s="53" t="s">
        <v>7</v>
      </c>
      <c r="B33" s="54">
        <f aca="true" t="shared" si="3" ref="B33:G33">SUM(B29:B32)</f>
        <v>-79245</v>
      </c>
      <c r="C33" s="55">
        <f t="shared" si="3"/>
        <v>0</v>
      </c>
      <c r="D33" s="56">
        <f t="shared" si="3"/>
        <v>-100000</v>
      </c>
      <c r="E33" s="57">
        <f t="shared" si="3"/>
        <v>-171874</v>
      </c>
      <c r="F33" s="57">
        <f t="shared" si="3"/>
        <v>-100000</v>
      </c>
      <c r="G33" s="55">
        <f t="shared" si="3"/>
        <v>-100000</v>
      </c>
      <c r="H33" s="36"/>
    </row>
    <row r="34" spans="1:8" ht="56.25" customHeight="1">
      <c r="A34" s="53" t="s">
        <v>8</v>
      </c>
      <c r="B34" s="54">
        <f aca="true" t="shared" si="4" ref="B34:G34">B11+B18+B27+B33</f>
        <v>2277628</v>
      </c>
      <c r="C34" s="54">
        <f t="shared" si="4"/>
        <v>540100</v>
      </c>
      <c r="D34" s="54">
        <f t="shared" si="4"/>
        <v>4122739</v>
      </c>
      <c r="E34" s="54">
        <f t="shared" si="4"/>
        <v>6275020</v>
      </c>
      <c r="F34" s="54">
        <f t="shared" si="4"/>
        <v>6987146.2820000015</v>
      </c>
      <c r="G34" s="54">
        <f t="shared" si="4"/>
        <v>6674657.90072</v>
      </c>
      <c r="H34" s="36"/>
    </row>
    <row r="35" spans="1:8" ht="21" customHeight="1">
      <c r="A35" s="58" t="s">
        <v>9</v>
      </c>
      <c r="B35" s="40"/>
      <c r="C35" s="40"/>
      <c r="D35" s="40"/>
      <c r="E35" s="40"/>
      <c r="F35" s="40"/>
      <c r="G35" s="40"/>
      <c r="H35" s="36"/>
    </row>
    <row r="36" spans="1:8" ht="20.25" customHeight="1">
      <c r="A36" s="40" t="s">
        <v>60</v>
      </c>
      <c r="B36" s="51">
        <v>-865323</v>
      </c>
      <c r="C36" s="51"/>
      <c r="D36" s="51">
        <v>-883135</v>
      </c>
      <c r="E36" s="51">
        <v>-883135</v>
      </c>
      <c r="F36" s="51">
        <v>-883135</v>
      </c>
      <c r="G36" s="51">
        <v>-883135</v>
      </c>
      <c r="H36" s="36"/>
    </row>
    <row r="37" spans="1:8" ht="20.25" customHeight="1">
      <c r="A37" s="39" t="s">
        <v>44</v>
      </c>
      <c r="B37" s="51">
        <v>-212953</v>
      </c>
      <c r="C37" s="51"/>
      <c r="D37" s="51">
        <v>-128723</v>
      </c>
      <c r="E37" s="51">
        <v>-53723</v>
      </c>
      <c r="F37" s="51"/>
      <c r="G37" s="51"/>
      <c r="H37" s="36"/>
    </row>
    <row r="38" spans="1:8" ht="20.25" customHeight="1">
      <c r="A38" s="39" t="s">
        <v>29</v>
      </c>
      <c r="B38" s="51"/>
      <c r="C38" s="51"/>
      <c r="D38" s="51"/>
      <c r="E38" s="51"/>
      <c r="F38" s="51"/>
      <c r="G38" s="51"/>
      <c r="H38" s="36"/>
    </row>
    <row r="39" spans="1:8" ht="20.25" customHeight="1">
      <c r="A39" s="40" t="s">
        <v>26</v>
      </c>
      <c r="B39" s="59"/>
      <c r="C39" s="51"/>
      <c r="D39" s="51"/>
      <c r="E39" s="51">
        <v>-420000</v>
      </c>
      <c r="F39" s="51">
        <f>E39*1.03</f>
        <v>-432600</v>
      </c>
      <c r="G39" s="51">
        <f>F39*1.03</f>
        <v>-445578</v>
      </c>
      <c r="H39" s="36"/>
    </row>
    <row r="40" spans="1:8" ht="20.25" customHeight="1">
      <c r="A40" s="40" t="s">
        <v>27</v>
      </c>
      <c r="B40" s="59"/>
      <c r="C40" s="51"/>
      <c r="D40" s="49"/>
      <c r="E40" s="49">
        <f>-(((E13)*0.25)*0.15)</f>
        <v>-1046900.7749999999</v>
      </c>
      <c r="F40" s="49">
        <f>-(((F13)*0.25)*0.15)</f>
        <v>-1055275.9812</v>
      </c>
      <c r="G40" s="49">
        <f>-(((G13)*0.25)*0.15)</f>
        <v>-1013064.941952</v>
      </c>
      <c r="H40" s="36"/>
    </row>
    <row r="41" spans="1:8" ht="20.25" customHeight="1">
      <c r="A41" s="40" t="s">
        <v>45</v>
      </c>
      <c r="B41" s="59"/>
      <c r="C41" s="51"/>
      <c r="D41" s="52"/>
      <c r="E41" s="49">
        <f>-950000</f>
        <v>-950000</v>
      </c>
      <c r="F41" s="49">
        <f>E41*1.05</f>
        <v>-997500</v>
      </c>
      <c r="G41" s="49">
        <f>F41*1.05</f>
        <v>-1047375</v>
      </c>
      <c r="H41" s="36"/>
    </row>
    <row r="42" spans="1:8" ht="20.25" customHeight="1">
      <c r="A42" s="40" t="s">
        <v>28</v>
      </c>
      <c r="B42" s="59"/>
      <c r="C42" s="51"/>
      <c r="D42" s="52"/>
      <c r="E42" s="49">
        <f>-1000000</f>
        <v>-1000000</v>
      </c>
      <c r="F42" s="49">
        <f>E42*1.05</f>
        <v>-1050000</v>
      </c>
      <c r="G42" s="49">
        <f>F42*1.05</f>
        <v>-1102500</v>
      </c>
      <c r="H42" s="36"/>
    </row>
    <row r="43" spans="1:8" ht="20.25" customHeight="1">
      <c r="A43" s="60" t="s">
        <v>10</v>
      </c>
      <c r="B43" s="45">
        <f aca="true" t="shared" si="5" ref="B43:G43">SUM(B35:B42)</f>
        <v>-1078276</v>
      </c>
      <c r="C43" s="55">
        <f t="shared" si="5"/>
        <v>0</v>
      </c>
      <c r="D43" s="56">
        <f t="shared" si="5"/>
        <v>-1011858</v>
      </c>
      <c r="E43" s="57">
        <f t="shared" si="5"/>
        <v>-4353758.775</v>
      </c>
      <c r="F43" s="57">
        <f t="shared" si="5"/>
        <v>-4418510.9812</v>
      </c>
      <c r="G43" s="57">
        <f t="shared" si="5"/>
        <v>-4491652.941951999</v>
      </c>
      <c r="H43" s="36"/>
    </row>
    <row r="44" spans="1:8" ht="53.25" customHeight="1">
      <c r="A44" s="53" t="s">
        <v>11</v>
      </c>
      <c r="B44" s="54">
        <f aca="true" t="shared" si="6" ref="B44:G44">B11+B18+B27+B33+B43</f>
        <v>1199352</v>
      </c>
      <c r="C44" s="54">
        <f t="shared" si="6"/>
        <v>540100</v>
      </c>
      <c r="D44" s="54">
        <f t="shared" si="6"/>
        <v>3110881</v>
      </c>
      <c r="E44" s="54">
        <f t="shared" si="6"/>
        <v>1921261.2249999996</v>
      </c>
      <c r="F44" s="54">
        <f t="shared" si="6"/>
        <v>2568635.3008000012</v>
      </c>
      <c r="G44" s="54">
        <f t="shared" si="6"/>
        <v>2183004.958768001</v>
      </c>
      <c r="H44" s="36"/>
    </row>
    <row r="45" spans="1:8" s="64" customFormat="1" ht="36" customHeight="1">
      <c r="A45" s="61" t="s">
        <v>58</v>
      </c>
      <c r="B45" s="62"/>
      <c r="C45" s="62"/>
      <c r="D45" s="62"/>
      <c r="E45" s="87">
        <f>E44/E18</f>
        <v>0.058062359107994496</v>
      </c>
      <c r="F45" s="87">
        <f>F44/F18</f>
        <v>0.07825132159462532</v>
      </c>
      <c r="G45" s="87">
        <f>G44/G18</f>
        <v>0.06993907146385138</v>
      </c>
      <c r="H45" s="63"/>
    </row>
    <row r="46" spans="1:7" ht="15.75">
      <c r="A46" s="65"/>
      <c r="B46" s="66"/>
      <c r="C46" s="66"/>
      <c r="D46" s="66"/>
      <c r="E46" s="66"/>
      <c r="F46" s="66"/>
      <c r="G46" s="66"/>
    </row>
    <row r="47" spans="1:7" ht="15.75">
      <c r="A47" s="67" t="s">
        <v>12</v>
      </c>
      <c r="B47" s="66"/>
      <c r="C47" s="66"/>
      <c r="D47" s="66"/>
      <c r="E47" s="66"/>
      <c r="F47" s="66"/>
      <c r="G47" s="66"/>
    </row>
    <row r="48" spans="1:7" ht="15.75" customHeight="1">
      <c r="A48" s="68" t="s">
        <v>47</v>
      </c>
      <c r="B48" s="69"/>
      <c r="C48" s="70"/>
      <c r="D48" s="17"/>
      <c r="E48" s="69"/>
      <c r="F48" s="69"/>
      <c r="G48" s="69"/>
    </row>
    <row r="49" spans="1:7" ht="15.75" customHeight="1">
      <c r="A49" s="68" t="s">
        <v>48</v>
      </c>
      <c r="B49" s="69"/>
      <c r="C49" s="70"/>
      <c r="D49" s="17"/>
      <c r="E49" s="69"/>
      <c r="F49" s="69"/>
      <c r="G49" s="69"/>
    </row>
    <row r="50" spans="1:7" ht="17.25" customHeight="1">
      <c r="A50" s="68" t="s">
        <v>42</v>
      </c>
      <c r="B50" s="72"/>
      <c r="C50" s="73"/>
      <c r="D50" s="74"/>
      <c r="E50" s="72"/>
      <c r="F50" s="69"/>
      <c r="G50" s="69"/>
    </row>
    <row r="51" spans="1:5" ht="16.5">
      <c r="A51" s="68" t="s">
        <v>35</v>
      </c>
      <c r="B51" s="75"/>
      <c r="C51" s="76"/>
      <c r="D51" s="17"/>
      <c r="E51" s="69"/>
    </row>
    <row r="52" spans="1:5" ht="16.5">
      <c r="A52" s="68" t="s">
        <v>36</v>
      </c>
      <c r="B52" s="75"/>
      <c r="C52" s="76"/>
      <c r="D52" s="17"/>
      <c r="E52" s="69"/>
    </row>
    <row r="53" spans="1:5" ht="15.75">
      <c r="A53" s="68" t="s">
        <v>37</v>
      </c>
      <c r="B53" s="77"/>
      <c r="C53" s="71"/>
      <c r="D53" s="71"/>
      <c r="E53" s="71"/>
    </row>
    <row r="54" spans="1:7" ht="15.75">
      <c r="A54" s="68" t="s">
        <v>49</v>
      </c>
      <c r="B54" s="66"/>
      <c r="C54" s="66"/>
      <c r="D54" s="17"/>
      <c r="E54" s="66"/>
      <c r="F54" s="66"/>
      <c r="G54" s="66"/>
    </row>
    <row r="55" ht="15.75">
      <c r="A55" s="68" t="s">
        <v>38</v>
      </c>
    </row>
    <row r="56" ht="15.75">
      <c r="A56" s="68" t="s">
        <v>50</v>
      </c>
    </row>
    <row r="57" ht="15.75">
      <c r="A57" s="68" t="s">
        <v>56</v>
      </c>
    </row>
    <row r="58" ht="15.75">
      <c r="A58" s="85" t="s">
        <v>54</v>
      </c>
    </row>
    <row r="59" ht="15.75">
      <c r="A59" s="86" t="s">
        <v>53</v>
      </c>
    </row>
    <row r="60" ht="15.75">
      <c r="A60" s="86" t="s">
        <v>55</v>
      </c>
    </row>
    <row r="61" ht="15.75">
      <c r="A61" s="86" t="s">
        <v>51</v>
      </c>
    </row>
    <row r="62" ht="15.75">
      <c r="A62" s="86" t="s">
        <v>57</v>
      </c>
    </row>
    <row r="63" ht="15.75">
      <c r="A63" s="86" t="s">
        <v>59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Flanagan</dc:creator>
  <cp:keywords/>
  <dc:description/>
  <cp:lastModifiedBy>Angel Allende-Foss</cp:lastModifiedBy>
  <cp:lastPrinted>2003-11-07T21:59:14Z</cp:lastPrinted>
  <dcterms:created xsi:type="dcterms:W3CDTF">2000-04-11T14:58:43Z</dcterms:created>
  <dcterms:modified xsi:type="dcterms:W3CDTF">2003-11-07T21:59:54Z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1472221461</vt:i4>
  </property>
  <property fmtid="{D5CDD505-2E9C-101B-9397-08002B2CF9AE}" pid="3" name="_EmailSubject">
    <vt:lpwstr>Abatement Fund Draft</vt:lpwstr>
  </property>
  <property fmtid="{D5CDD505-2E9C-101B-9397-08002B2CF9AE}" pid="4" name="_AuthorEmail">
    <vt:lpwstr>Stephen.Broz@METROKC.GOV</vt:lpwstr>
  </property>
  <property fmtid="{D5CDD505-2E9C-101B-9397-08002B2CF9AE}" pid="5" name="_AuthorEmailDisplayName">
    <vt:lpwstr>Broz, Stephen</vt:lpwstr>
  </property>
  <property fmtid="{D5CDD505-2E9C-101B-9397-08002B2CF9AE}" pid="6" name="_ReviewingToolsShownOnce">
    <vt:lpwstr/>
  </property>
</Properties>
</file>