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codeName="ThisWorkbook" defaultThemeVersion="124226"/>
  <bookViews>
    <workbookView xWindow="1815" yWindow="1815" windowWidth="25230" windowHeight="1294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Cost Calc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<sst xmlns="http://schemas.openxmlformats.org/spreadsheetml/2006/main" count="708" uniqueCount="195">
  <si>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</si>
  <si>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</si>
  <si>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</si>
  <si>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</si>
  <si>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</si>
  <si>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</si>
  <si>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</si>
  <si>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</si>
  <si>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</si>
  <si>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</si>
  <si>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</si>
  <si>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</si>
  <si>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</si>
  <si>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</si>
  <si>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</si>
  <si>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</si>
  <si>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</si>
  <si>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</si>
  <si>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</si>
  <si>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</si>
  <si>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</si>
  <si>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</si>
  <si>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</si>
  <si>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</si>
  <si>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</si>
  <si>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</si>
  <si>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</si>
  <si>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</si>
  <si>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</si>
  <si>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</si>
  <si>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</si>
  <si>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</si>
  <si>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</si>
  <si>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</si>
  <si>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</si>
  <si>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</si>
  <si>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</si>
  <si>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</si>
  <si>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</si>
  <si>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</si>
  <si>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</si>
  <si>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</si>
  <si>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</si>
  <si>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</si>
  <si>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</si>
  <si>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</si>
  <si>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</si>
  <si>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</si>
  <si>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</si>
  <si>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</si>
  <si>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</si>
  <si>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</si>
  <si>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</si>
  <si>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</si>
  <si>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</si>
  <si>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</si>
  <si>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</si>
  <si>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</si>
  <si>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</si>
  <si>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</si>
  <si>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</si>
  <si>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</si>
  <si>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</si>
  <si>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</si>
  <si>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</si>
  <si>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</si>
  <si>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</si>
  <si>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</si>
  <si>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</si>
  <si>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</si>
  <si>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</si>
  <si>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</si>
  <si>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</si>
  <si>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</si>
  <si>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</si>
  <si>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</si>
  <si>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</si>
  <si>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</si>
  <si>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</si>
  <si>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</si>
  <si>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</si>
  <si>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</si>
  <si>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</si>
  <si>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</si>
  <si>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</si>
  <si>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</si>
  <si>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</si>
  <si>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</si>
  <si>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</si>
  <si>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</si>
  <si>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</si>
  <si>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</si>
  <si>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</si>
  <si>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</si>
  <si>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</si>
  <si>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</si>
  <si>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</si>
  <si>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</si>
  <si>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</si>
  <si>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</si>
  <si>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</si>
  <si>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</si>
  <si>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</si>
  <si>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</si>
  <si>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</si>
  <si>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</si>
  <si>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</si>
  <si>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</si>
  <si>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</si>
  <si>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</si>
  <si>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</si>
  <si>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</si>
  <si>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</si>
  <si>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</si>
  <si>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</si>
  <si>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</si>
  <si>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</si>
  <si>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</si>
  <si>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</si>
  <si>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</si>
  <si>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</si>
  <si>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</si>
  <si>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</si>
  <si>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</si>
  <si>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</si>
  <si>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</si>
  <si>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</si>
  <si>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</si>
  <si>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</si>
  <si>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</si>
  <si>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</si>
  <si>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</si>
  <si>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</si>
  <si>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</si>
  <si>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</si>
  <si>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</si>
  <si>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</si>
  <si>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</si>
  <si>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</si>
  <si>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</si>
  <si>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</si>
  <si>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</si>
  <si>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</si>
  <si>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</si>
  <si>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</si>
  <si>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</si>
  <si>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</si>
  <si>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</si>
  <si>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</si>
  <si>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</si>
  <si>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</si>
  <si>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</si>
  <si>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</si>
  <si>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</si>
  <si>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</si>
  <si>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</si>
  <si>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</si>
  <si>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15 Nickerson - First Amendment to Lease #1945</t>
  </si>
  <si>
    <t>15 Nickerson Lease Amendment</t>
  </si>
  <si>
    <t>DNRP/WLRD</t>
  </si>
  <si>
    <t>Lease Renewal</t>
  </si>
  <si>
    <t>Stand Alone</t>
  </si>
  <si>
    <t>Carolyn Mock / Stephanie Clabaugh</t>
  </si>
  <si>
    <t>7/16/19</t>
  </si>
  <si>
    <t>1044908</t>
  </si>
  <si>
    <t>0741</t>
  </si>
  <si>
    <t>A74100</t>
  </si>
  <si>
    <t>Rent &amp; Operating Costs 7/1/2019 - 6/30/2024</t>
  </si>
  <si>
    <t>- Biennial costs based on 7/1/2019 start date.</t>
  </si>
  <si>
    <t>15 Nickerson - First Amendment</t>
  </si>
  <si>
    <t>Effective 7/1/2019</t>
  </si>
  <si>
    <t>Base Rent</t>
  </si>
  <si>
    <t>Months</t>
  </si>
  <si>
    <t>Monthly Rate</t>
  </si>
  <si>
    <t xml:space="preserve">         M 1 </t>
  </si>
  <si>
    <t>M 1 - 12</t>
  </si>
  <si>
    <t>M 13 - 24</t>
  </si>
  <si>
    <t>M 25 - 36</t>
  </si>
  <si>
    <t>M 37  -48</t>
  </si>
  <si>
    <t>M 49 - 60</t>
  </si>
  <si>
    <t>M 61  - 72</t>
  </si>
  <si>
    <t>M 73  - 84</t>
  </si>
  <si>
    <t>M 85  - 96</t>
  </si>
  <si>
    <t>M 97  - 108</t>
  </si>
  <si>
    <t>M 109 - 120</t>
  </si>
  <si>
    <t>Annual Base Rent Total</t>
  </si>
  <si>
    <t>OPEX Additional Rent</t>
  </si>
  <si>
    <t>Year</t>
  </si>
  <si>
    <t xml:space="preserve">Monthly Opex </t>
  </si>
  <si>
    <t xml:space="preserve">Annual Total Base and OPEX </t>
  </si>
  <si>
    <t>Total Biennium Total Costs</t>
  </si>
  <si>
    <t xml:space="preserve">*Bienniums color coded by yellow/green </t>
  </si>
  <si>
    <t>Total Lease Cost</t>
  </si>
  <si>
    <t>Note:  OPEX reconciliations/estimates run on a calendar year; OPEX estimated to increase 3% annually</t>
  </si>
  <si>
    <t>- Operating costs estimated at $300/year with 3% annual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</si>
</sst>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20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34" fillId="3" borderId="31" xfId="0" applyFont="1" applyFill="1" applyBorder="1" applyAlignment="1" applyProtection="1" quotePrefix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0" fontId="48" fillId="0" borderId="54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6" borderId="29" xfId="20" applyFont="1" applyFill="1" applyBorder="1">
      <alignment/>
      <protection/>
    </xf>
    <xf numFmtId="0" fontId="48" fillId="7" borderId="29" xfId="20" applyFont="1" applyFill="1" applyBorder="1">
      <alignment/>
      <protection/>
    </xf>
    <xf numFmtId="0" fontId="48" fillId="7" borderId="40" xfId="20" applyFont="1" applyFill="1" applyBorder="1">
      <alignment/>
      <protection/>
    </xf>
    <xf numFmtId="0" fontId="1" fillId="0" borderId="55" xfId="20" applyNumberFormat="1" applyBorder="1" applyAlignment="1">
      <alignment horizontal="center" vertical="center"/>
      <protection/>
    </xf>
    <xf numFmtId="168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167" fontId="1" fillId="0" borderId="49" xfId="20" applyNumberFormat="1" applyBorder="1" applyAlignment="1">
      <alignment vertical="center"/>
      <protection/>
    </xf>
    <xf numFmtId="167" fontId="1" fillId="0" borderId="56" xfId="20" applyNumberFormat="1" applyBorder="1" applyAlignment="1">
      <alignment vertical="center"/>
      <protection/>
    </xf>
    <xf numFmtId="0" fontId="48" fillId="0" borderId="57" xfId="20" applyNumberFormat="1" applyFont="1" applyBorder="1">
      <alignment/>
      <protection/>
    </xf>
    <xf numFmtId="0" fontId="1" fillId="0" borderId="29" xfId="20" applyBorder="1">
      <alignment/>
      <protection/>
    </xf>
    <xf numFmtId="168" fontId="1" fillId="0" borderId="29" xfId="20" applyNumberFormat="1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1" fillId="0" borderId="0" xfId="20" applyNumberFormat="1" applyFill="1" applyBorder="1">
      <alignment/>
      <protection/>
    </xf>
    <xf numFmtId="0" fontId="48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168" fontId="1" fillId="0" borderId="0" xfId="20" applyNumberFormat="1" applyBorder="1">
      <alignment/>
      <protection/>
    </xf>
    <xf numFmtId="0" fontId="48" fillId="0" borderId="0" xfId="20" applyNumberFormat="1" applyFont="1" applyFill="1" applyBorder="1">
      <alignment/>
      <protection/>
    </xf>
    <xf numFmtId="0" fontId="1" fillId="0" borderId="54" xfId="20" applyBorder="1" applyAlignment="1">
      <alignment horizontal="center" vertical="center"/>
      <protection/>
    </xf>
    <xf numFmtId="0" fontId="1" fillId="0" borderId="50" xfId="20" applyBorder="1">
      <alignment/>
      <protection/>
    </xf>
    <xf numFmtId="167" fontId="1" fillId="0" borderId="21" xfId="20" applyNumberFormat="1" applyBorder="1" applyAlignment="1">
      <alignment horizontal="center" vertical="center"/>
      <protection/>
    </xf>
    <xf numFmtId="168" fontId="1" fillId="0" borderId="0" xfId="20" applyNumberFormat="1" applyBorder="1" applyAlignment="1">
      <alignment vertical="center"/>
      <protection/>
    </xf>
    <xf numFmtId="0" fontId="1" fillId="0" borderId="58" xfId="20" applyNumberFormat="1" applyFill="1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48" fillId="6" borderId="50" xfId="20" applyFont="1" applyFill="1" applyBorder="1">
      <alignment/>
      <protection/>
    </xf>
    <xf numFmtId="0" fontId="48" fillId="7" borderId="50" xfId="20" applyFont="1" applyFill="1" applyBorder="1">
      <alignment/>
      <protection/>
    </xf>
    <xf numFmtId="0" fontId="48" fillId="7" borderId="61" xfId="20" applyFont="1" applyFill="1" applyBorder="1">
      <alignment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2" xfId="20" applyNumberFormat="1" applyFont="1" applyBorder="1" applyAlignment="1">
      <alignment vertical="center"/>
      <protection/>
    </xf>
    <xf numFmtId="167" fontId="48" fillId="0" borderId="63" xfId="20" applyNumberFormat="1" applyFont="1" applyBorder="1" applyAlignment="1">
      <alignment vertical="center"/>
      <protection/>
    </xf>
    <xf numFmtId="0" fontId="49" fillId="0" borderId="27" xfId="20" applyFont="1" applyBorder="1" applyAlignment="1">
      <alignment vertical="center"/>
      <protection/>
    </xf>
    <xf numFmtId="0" fontId="49" fillId="0" borderId="28" xfId="20" applyFont="1" applyBorder="1" applyAlignment="1">
      <alignment vertical="center"/>
      <protection/>
    </xf>
    <xf numFmtId="0" fontId="1" fillId="6" borderId="51" xfId="20" applyFill="1" applyBorder="1" applyAlignment="1">
      <alignment vertical="center"/>
      <protection/>
    </xf>
    <xf numFmtId="168" fontId="1" fillId="7" borderId="51" xfId="20" applyNumberFormat="1" applyFill="1" applyBorder="1" applyAlignment="1">
      <alignment vertical="center"/>
      <protection/>
    </xf>
    <xf numFmtId="168" fontId="1" fillId="6" borderId="51" xfId="20" applyNumberFormat="1" applyFill="1" applyBorder="1" applyAlignment="1">
      <alignment vertical="center"/>
      <protection/>
    </xf>
    <xf numFmtId="168" fontId="1" fillId="7" borderId="64" xfId="20" applyNumberFormat="1" applyFill="1" applyBorder="1" applyAlignment="1">
      <alignment vertical="center"/>
      <protection/>
    </xf>
    <xf numFmtId="0" fontId="50" fillId="0" borderId="0" xfId="20" applyFont="1" applyAlignment="1">
      <alignment vertical="center"/>
      <protection/>
    </xf>
    <xf numFmtId="0" fontId="49" fillId="0" borderId="31" xfId="20" applyFont="1" applyBorder="1" applyAlignment="1">
      <alignment vertical="center"/>
      <protection/>
    </xf>
    <xf numFmtId="0" fontId="51" fillId="0" borderId="30" xfId="20" applyFont="1" applyBorder="1" applyAlignment="1">
      <alignment vertical="center"/>
      <protection/>
    </xf>
    <xf numFmtId="0" fontId="1" fillId="0" borderId="30" xfId="20" applyBorder="1" applyAlignment="1">
      <alignment vertical="center"/>
      <protection/>
    </xf>
    <xf numFmtId="167" fontId="49" fillId="8" borderId="31" xfId="20" applyNumberFormat="1" applyFont="1" applyFill="1" applyBorder="1" applyAlignment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4" fillId="9" borderId="65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8" xfId="16" applyNumberFormat="1" applyFont="1" applyBorder="1" applyAlignment="1">
      <alignment horizontal="center"/>
    </xf>
    <xf numFmtId="166" fontId="2" fillId="0" borderId="66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6" xfId="16" applyNumberFormat="1" applyFont="1" applyBorder="1" applyAlignment="1">
      <alignment horizontal="center"/>
    </xf>
    <xf numFmtId="0" fontId="22" fillId="0" borderId="67" xfId="0" applyFont="1" applyFill="1" applyBorder="1" applyAlignment="1">
      <alignment horizontal="left"/>
    </xf>
    <xf numFmtId="0" fontId="22" fillId="0" borderId="68" xfId="0" applyFont="1" applyFill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0" fontId="22" fillId="0" borderId="64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7" xfId="16" applyNumberFormat="1" applyFont="1" applyBorder="1" applyAlignment="1">
      <alignment horizontal="center"/>
    </xf>
    <xf numFmtId="166" fontId="2" fillId="0" borderId="70" xfId="16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9" borderId="65" xfId="0" applyFont="1" applyFill="1" applyBorder="1" applyAlignment="1">
      <alignment horizontal="center" vertical="center"/>
    </xf>
    <xf numFmtId="0" fontId="15" fillId="9" borderId="65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59" xfId="0" applyFont="1" applyBorder="1"/>
    <xf numFmtId="0" fontId="22" fillId="0" borderId="60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2" xfId="16" applyNumberFormat="1" applyFont="1" applyBorder="1"/>
    <xf numFmtId="166" fontId="3" fillId="0" borderId="1" xfId="16" applyNumberFormat="1" applyFont="1" applyBorder="1"/>
    <xf numFmtId="166" fontId="3" fillId="0" borderId="73" xfId="16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44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8" t="s">
        <v>60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0" t="s">
        <v>76</v>
      </c>
      <c r="E11" s="420"/>
      <c r="F11" s="421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2" t="s">
        <v>75</v>
      </c>
      <c r="E12" s="422"/>
      <c r="F12" s="423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2" t="s">
        <v>74</v>
      </c>
      <c r="E13" s="422"/>
      <c r="F13" s="423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24" t="s">
        <v>73</v>
      </c>
      <c r="E14" s="422"/>
      <c r="F14" s="423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2" t="s">
        <v>72</v>
      </c>
      <c r="E15" s="422"/>
      <c r="F15" s="423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2" t="s">
        <v>103</v>
      </c>
      <c r="E16" s="422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2" t="s">
        <v>69</v>
      </c>
      <c r="E17" s="422"/>
      <c r="F17" s="423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0" t="s">
        <v>70</v>
      </c>
      <c r="E18" s="420"/>
      <c r="F18" s="421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20" t="s">
        <v>139</v>
      </c>
      <c r="E19" s="420"/>
      <c r="F19" s="421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12" t="s">
        <v>34</v>
      </c>
      <c r="H20" s="412"/>
      <c r="I20" s="41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159</v>
      </c>
      <c r="H21" s="144"/>
      <c r="I21" s="145"/>
      <c r="J21" s="146" t="s">
        <v>166</v>
      </c>
      <c r="K21" s="335" t="s">
        <v>165</v>
      </c>
      <c r="L21" s="146">
        <v>1210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164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18" t="s">
        <v>125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8" t="s">
        <v>77</v>
      </c>
      <c r="E40" s="428"/>
      <c r="F40" s="42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8" t="s">
        <v>78</v>
      </c>
      <c r="E41" s="428"/>
      <c r="F41" s="42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2" t="s">
        <v>134</v>
      </c>
      <c r="E43" s="433"/>
      <c r="F43" s="433"/>
      <c r="G43" s="433"/>
      <c r="H43" s="433"/>
      <c r="I43" s="43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5" t="s">
        <v>99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9" t="s">
        <v>20</v>
      </c>
      <c r="F57" s="419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30"/>
      <c r="F58" s="431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6" t="s">
        <v>84</v>
      </c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9"/>
      <c r="D69" s="409"/>
      <c r="E69" s="409"/>
      <c r="F69" s="40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8" t="s">
        <v>85</v>
      </c>
      <c r="F71" s="428"/>
      <c r="G71" s="428"/>
      <c r="H71" s="428"/>
      <c r="I71" s="428"/>
      <c r="J71" s="428"/>
      <c r="K71" s="428"/>
      <c r="L71" s="428"/>
      <c r="M71" s="428"/>
      <c r="N71" s="180"/>
      <c r="O71" s="211"/>
    </row>
    <row r="72" spans="2:15" ht="13.5" customHeight="1">
      <c r="B72" s="210"/>
      <c r="C72" s="268" t="s">
        <v>25</v>
      </c>
      <c r="D72" s="269"/>
      <c r="E72" s="413" t="s">
        <v>86</v>
      </c>
      <c r="F72" s="413"/>
      <c r="G72" s="413"/>
      <c r="H72" s="413"/>
      <c r="I72" s="413"/>
      <c r="J72" s="413"/>
      <c r="K72" s="413"/>
      <c r="L72" s="413"/>
      <c r="M72" s="413"/>
      <c r="N72" s="181"/>
      <c r="O72" s="211"/>
    </row>
    <row r="73" spans="2:15" ht="14.25">
      <c r="B73" s="210"/>
      <c r="C73" s="268" t="s">
        <v>53</v>
      </c>
      <c r="D73" s="269"/>
      <c r="E73" s="413" t="s">
        <v>87</v>
      </c>
      <c r="F73" s="393"/>
      <c r="G73" s="393"/>
      <c r="H73" s="393"/>
      <c r="I73" s="393"/>
      <c r="J73" s="393"/>
      <c r="K73" s="393"/>
      <c r="L73" s="393"/>
      <c r="M73" s="393"/>
      <c r="N73" s="179"/>
      <c r="O73" s="211"/>
    </row>
    <row r="74" spans="2:15" ht="14.25">
      <c r="B74" s="210"/>
      <c r="C74" s="426" t="s">
        <v>55</v>
      </c>
      <c r="D74" s="426"/>
      <c r="E74" s="413" t="s">
        <v>88</v>
      </c>
      <c r="F74" s="393"/>
      <c r="G74" s="393"/>
      <c r="H74" s="393"/>
      <c r="I74" s="393"/>
      <c r="J74" s="393"/>
      <c r="K74" s="393"/>
      <c r="L74" s="393"/>
      <c r="M74" s="393"/>
      <c r="N74" s="179"/>
      <c r="O74" s="211"/>
    </row>
    <row r="75" spans="2:15" ht="14.25" customHeight="1">
      <c r="B75" s="210"/>
      <c r="C75" s="425" t="s">
        <v>56</v>
      </c>
      <c r="D75" s="425"/>
      <c r="E75" s="413" t="s">
        <v>89</v>
      </c>
      <c r="F75" s="413"/>
      <c r="G75" s="413"/>
      <c r="H75" s="413"/>
      <c r="I75" s="413"/>
      <c r="J75" s="413"/>
      <c r="K75" s="413"/>
      <c r="L75" s="413"/>
      <c r="M75" s="413"/>
      <c r="N75" s="181"/>
      <c r="O75" s="211"/>
    </row>
    <row r="76" spans="2:15" ht="14.25">
      <c r="B76" s="210"/>
      <c r="C76" s="426" t="s">
        <v>57</v>
      </c>
      <c r="D76" s="426"/>
      <c r="E76" s="413"/>
      <c r="F76" s="393"/>
      <c r="G76" s="393"/>
      <c r="H76" s="393"/>
      <c r="I76" s="393"/>
      <c r="J76" s="393"/>
      <c r="K76" s="393"/>
      <c r="L76" s="393"/>
      <c r="M76" s="393"/>
      <c r="N76" s="179"/>
      <c r="O76" s="211"/>
    </row>
    <row r="77" spans="2:15" ht="15" customHeight="1">
      <c r="B77" s="210"/>
      <c r="C77" s="427" t="s">
        <v>26</v>
      </c>
      <c r="D77" s="427"/>
      <c r="E77" s="413" t="s">
        <v>90</v>
      </c>
      <c r="F77" s="393"/>
      <c r="G77" s="393"/>
      <c r="H77" s="393"/>
      <c r="I77" s="393"/>
      <c r="J77" s="393"/>
      <c r="K77" s="393"/>
      <c r="L77" s="393"/>
      <c r="M77" s="39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164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99" t="s">
        <v>40</v>
      </c>
      <c r="D81" s="399"/>
      <c r="E81" s="400" t="s">
        <v>22</v>
      </c>
      <c r="F81" s="400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167</v>
      </c>
      <c r="F84" s="154"/>
      <c r="G84" s="155">
        <v>10950</v>
      </c>
      <c r="H84" s="151">
        <v>22233</v>
      </c>
      <c r="I84" s="152">
        <v>22900</v>
      </c>
      <c r="J84" s="151">
        <v>23587</v>
      </c>
      <c r="K84" s="151">
        <v>24295</v>
      </c>
      <c r="L84" s="151">
        <v>12329</v>
      </c>
      <c r="M84" s="151"/>
      <c r="N84" s="193"/>
      <c r="O84" s="211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4" t="s">
        <v>56</v>
      </c>
      <c r="D86" s="41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6" t="s">
        <v>26</v>
      </c>
      <c r="D88" s="41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99" t="s">
        <v>40</v>
      </c>
      <c r="D92" s="399"/>
      <c r="E92" s="400" t="s">
        <v>22</v>
      </c>
      <c r="F92" s="400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4" t="s">
        <v>56</v>
      </c>
      <c r="D97" s="41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6" t="s">
        <v>26</v>
      </c>
      <c r="D99" s="41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99" t="s">
        <v>40</v>
      </c>
      <c r="D103" s="399"/>
      <c r="E103" s="400" t="s">
        <v>22</v>
      </c>
      <c r="F103" s="400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14" t="s">
        <v>56</v>
      </c>
      <c r="D108" s="41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16" t="s">
        <v>26</v>
      </c>
      <c r="D110" s="41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99" t="s">
        <v>40</v>
      </c>
      <c r="D114" s="399"/>
      <c r="E114" s="400" t="s">
        <v>22</v>
      </c>
      <c r="F114" s="400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01" t="s">
        <v>55</v>
      </c>
      <c r="D118" s="40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03" t="s">
        <v>56</v>
      </c>
      <c r="D119" s="40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01" t="s">
        <v>57</v>
      </c>
      <c r="D120" s="40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05" t="s">
        <v>26</v>
      </c>
      <c r="D121" s="40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99" t="s">
        <v>40</v>
      </c>
      <c r="D125" s="399"/>
      <c r="E125" s="400" t="s">
        <v>22</v>
      </c>
      <c r="F125" s="400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01" t="s">
        <v>55</v>
      </c>
      <c r="D129" s="40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03" t="s">
        <v>56</v>
      </c>
      <c r="D130" s="40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01" t="s">
        <v>57</v>
      </c>
      <c r="D131" s="40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05" t="s">
        <v>26</v>
      </c>
      <c r="D132" s="40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99" t="s">
        <v>40</v>
      </c>
      <c r="D136" s="399"/>
      <c r="E136" s="400" t="s">
        <v>22</v>
      </c>
      <c r="F136" s="400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01" t="s">
        <v>55</v>
      </c>
      <c r="D140" s="40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03" t="s">
        <v>56</v>
      </c>
      <c r="D141" s="40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01" t="s">
        <v>57</v>
      </c>
      <c r="D142" s="40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05" t="s">
        <v>26</v>
      </c>
      <c r="D143" s="40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93" t="s">
        <v>100</v>
      </c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179"/>
      <c r="O148" s="224"/>
      <c r="P148" s="225"/>
      <c r="Q148" s="225"/>
    </row>
    <row r="149" spans="2:17" ht="12.75" customHeight="1">
      <c r="B149" s="210"/>
      <c r="C149" s="393" t="s">
        <v>132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07" t="s">
        <v>18</v>
      </c>
      <c r="D155" s="407" t="s">
        <v>39</v>
      </c>
      <c r="E155" s="397" t="s">
        <v>23</v>
      </c>
      <c r="F155" s="39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0"/>
      <c r="D156" s="400"/>
      <c r="E156" s="398"/>
      <c r="F156" s="39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93" t="s">
        <v>155</v>
      </c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179"/>
      <c r="O173" s="224"/>
    </row>
    <row r="174" spans="2:15" ht="34.5" customHeight="1" thickBot="1">
      <c r="B174" s="210"/>
      <c r="C174" s="390" t="s">
        <v>168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4" t="s">
        <v>194</v>
      </c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6"/>
      <c r="O175" s="224"/>
    </row>
    <row r="176" spans="2:15" ht="34.5" customHeight="1" thickBot="1">
      <c r="B176" s="210"/>
      <c r="C176" s="394" t="s">
        <v>123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6"/>
      <c r="O176" s="224"/>
    </row>
    <row r="177" spans="2:15" ht="34.5" customHeight="1" thickBot="1">
      <c r="B177" s="210"/>
      <c r="C177" s="394" t="s">
        <v>123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93" t="s">
        <v>156</v>
      </c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1044908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3">
      <selection activeCell="B121" sqref="B121:S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3" t="s">
        <v>31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"/>
    </row>
    <row r="4" spans="1:20" ht="3" customHeight="1" thickBot="1" thickTop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1"/>
    </row>
    <row r="5" spans="1:19" ht="13.5">
      <c r="A5" s="504" t="s">
        <v>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1:20" ht="13.5">
      <c r="A6" s="500" t="s">
        <v>0</v>
      </c>
      <c r="B6" s="501"/>
      <c r="C6" s="499" t="str">
        <f>IF('2a.  Simple Form Data Entry'!G11="","   ",'2a.  Simple Form Data Entry'!G11)</f>
        <v>15 Nickerson Lease Amendment</v>
      </c>
      <c r="D6" s="499"/>
      <c r="E6" s="499"/>
      <c r="F6" s="499"/>
      <c r="G6" s="499"/>
      <c r="H6" s="499"/>
      <c r="I6" s="499"/>
      <c r="J6" s="499"/>
      <c r="L6" s="293" t="s">
        <v>16</v>
      </c>
      <c r="M6" s="293"/>
      <c r="O6" s="72"/>
      <c r="Q6" s="72"/>
      <c r="R6" s="319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505" t="s">
        <v>152</v>
      </c>
      <c r="B7" s="496"/>
      <c r="C7" s="486" t="str">
        <f>IF('2a.  Simple Form Data Entry'!G12="","   ",'2a.  Simple Form Data Entry'!G12)</f>
        <v>DNRP/WLRD</v>
      </c>
      <c r="D7" s="486"/>
      <c r="E7" s="486"/>
      <c r="F7" s="486"/>
      <c r="G7" s="486"/>
      <c r="H7" s="486"/>
      <c r="I7" s="486"/>
      <c r="J7" s="48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97" t="s">
        <v>2</v>
      </c>
      <c r="B8" s="498"/>
      <c r="C8" s="292" t="str">
        <f>IF('2a.  Simple Form Data Entry'!G15="","   ",'2a.  Simple Form Data Entry'!G15)</f>
        <v>Carolyn Mock / Stephanie Clabaugh</v>
      </c>
      <c r="E8" s="292"/>
      <c r="F8" s="498" t="s">
        <v>8</v>
      </c>
      <c r="G8" s="498"/>
      <c r="H8" s="329" t="str">
        <f>IF('2a.  Simple Form Data Entry'!G15=""," ",'2a.  Simple Form Data Entry'!G16)</f>
        <v>7/16/19</v>
      </c>
      <c r="I8" s="292"/>
      <c r="J8" s="292"/>
      <c r="L8" s="496" t="s">
        <v>10</v>
      </c>
      <c r="M8" s="496"/>
      <c r="N8" s="496"/>
      <c r="O8" s="496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97" t="s">
        <v>3</v>
      </c>
      <c r="B9" s="498"/>
      <c r="C9" s="295"/>
      <c r="D9" s="292"/>
      <c r="E9" s="292"/>
      <c r="F9" s="498" t="s">
        <v>13</v>
      </c>
      <c r="G9" s="498"/>
      <c r="H9" s="292"/>
      <c r="I9" s="292"/>
      <c r="J9" s="292"/>
      <c r="L9" s="496" t="s">
        <v>9</v>
      </c>
      <c r="M9" s="496"/>
      <c r="N9" s="496"/>
      <c r="O9" s="49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9" t="str">
        <f>IF('2a.  Simple Form Data Entry'!G10=""," ",'2a.  Simple Form Data Entry'!G10)</f>
        <v>15 Nickerson - First Amendment to Lease #1945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3" t="s">
        <v>14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89" t="s">
        <v>32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93" t="s">
        <v>145</v>
      </c>
      <c r="B17" s="493"/>
      <c r="C17" s="493"/>
      <c r="D17" s="493"/>
      <c r="E17" s="490" t="str">
        <f>IF('2a.  Simple Form Data Entry'!G39="N","NA",'2a.  Simple Form Data Entry'!G40)</f>
        <v>NA</v>
      </c>
      <c r="F17" s="491"/>
      <c r="G17" s="492"/>
      <c r="H17" s="451" t="s">
        <v>153</v>
      </c>
      <c r="I17" s="452"/>
      <c r="J17" s="452"/>
      <c r="K17" s="452"/>
      <c r="L17" s="452"/>
      <c r="M17" s="452"/>
      <c r="N17" s="310"/>
      <c r="O17" s="444" t="str">
        <f>IF('2a.  Simple Form Data Entry'!G39="N","NA",'2a.  Simple Form Data Entry'!G41)</f>
        <v>NA</v>
      </c>
      <c r="P17" s="445"/>
      <c r="Q17" s="445"/>
      <c r="R17" s="445"/>
      <c r="S17" s="44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89" t="s">
        <v>33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57" t="str">
        <f>IF('2a.  Simple Form Data Entry'!E80="","   ",'2a.  Simple Form Data Entry'!E80)</f>
        <v>DNRP/WLRD</v>
      </c>
      <c r="B35" s="458"/>
      <c r="C35" s="45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A74100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0741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1210</v>
      </c>
      <c r="G35" s="79" t="str">
        <f>IF('2a.  Simple Form Data Entry'!I80="","   ",'2a.  Simple Form Data Entry'!I80)</f>
        <v>1044908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&amp; Operating Costs 7/1/2019 - 6/30/2024</v>
      </c>
      <c r="I38" s="80">
        <f>'2a.  Simple Form Data Entry'!N84</f>
        <v>0</v>
      </c>
      <c r="J38" s="80">
        <f>'2a.  Simple Form Data Entry'!G84</f>
        <v>10950</v>
      </c>
      <c r="K38" s="80">
        <f>'2a.  Simple Form Data Entry'!H84</f>
        <v>22233</v>
      </c>
      <c r="L38" s="80">
        <f t="shared" si="7"/>
        <v>33183</v>
      </c>
      <c r="M38" s="80">
        <f>'2a.  Simple Form Data Entry'!I84</f>
        <v>22900</v>
      </c>
      <c r="N38" s="80">
        <f>'2a.  Simple Form Data Entry'!J84</f>
        <v>23587</v>
      </c>
      <c r="O38" s="80">
        <f t="shared" si="5"/>
        <v>46487</v>
      </c>
      <c r="P38" s="80">
        <f>'2a.  Simple Form Data Entry'!K84</f>
        <v>24295</v>
      </c>
      <c r="Q38" s="80">
        <f>'2a.  Simple Form Data Entry'!L84</f>
        <v>12329</v>
      </c>
      <c r="R38" s="80">
        <f t="shared" si="6"/>
        <v>36624</v>
      </c>
      <c r="S38" s="83">
        <f>'2a.  Simple Form Data Entry'!M84</f>
        <v>0</v>
      </c>
      <c r="T38" s="12"/>
    </row>
    <row r="39" spans="1:20" ht="13.5" customHeight="1">
      <c r="A39" s="16"/>
      <c r="B39" s="447" t="s">
        <v>55</v>
      </c>
      <c r="C39" s="448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49" t="s">
        <v>56</v>
      </c>
      <c r="C40" s="45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47" t="s">
        <v>57</v>
      </c>
      <c r="C41" s="44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63" t="s">
        <v>26</v>
      </c>
      <c r="C42" s="464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10950</v>
      </c>
      <c r="K43" s="63">
        <f t="shared" si="8"/>
        <v>22233</v>
      </c>
      <c r="L43" s="63">
        <f t="shared" si="7"/>
        <v>33183</v>
      </c>
      <c r="M43" s="63">
        <f t="shared" si="8"/>
        <v>22900</v>
      </c>
      <c r="N43" s="63">
        <f t="shared" si="8"/>
        <v>23587</v>
      </c>
      <c r="O43" s="63">
        <f t="shared" si="5"/>
        <v>46487</v>
      </c>
      <c r="P43" s="63">
        <f aca="true" t="shared" si="9" ref="P43:Q43">SUM(P36:P42)</f>
        <v>24295</v>
      </c>
      <c r="Q43" s="63">
        <f t="shared" si="9"/>
        <v>12329</v>
      </c>
      <c r="R43" s="63">
        <f t="shared" si="6"/>
        <v>36624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0" t="str">
        <f>IF('2a.  Simple Form Data Entry'!E91="","   ",'2a.  Simple Form Data Entry'!E91)</f>
        <v xml:space="preserve">   </v>
      </c>
      <c r="B45" s="461"/>
      <c r="C45" s="46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47" t="s">
        <v>55</v>
      </c>
      <c r="C49" s="44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49" t="s">
        <v>56</v>
      </c>
      <c r="C50" s="45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47" t="s">
        <v>57</v>
      </c>
      <c r="C51" s="44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63" t="s">
        <v>26</v>
      </c>
      <c r="C52" s="46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60" t="str">
        <f>IF('2a.  Simple Form Data Entry'!E102="","   ",'2a.  Simple Form Data Entry'!E102)</f>
        <v xml:space="preserve">   </v>
      </c>
      <c r="B55" s="461"/>
      <c r="C55" s="46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47" t="s">
        <v>55</v>
      </c>
      <c r="C59" s="44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49" t="s">
        <v>56</v>
      </c>
      <c r="C60" s="45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47" t="s">
        <v>57</v>
      </c>
      <c r="C61" s="44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63" t="s">
        <v>26</v>
      </c>
      <c r="C62" s="46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60" t="str">
        <f>IF('2a.  Simple Form Data Entry'!E113="","   ",'2a.  Simple Form Data Entry'!E113)</f>
        <v xml:space="preserve">   </v>
      </c>
      <c r="B65" s="461"/>
      <c r="C65" s="46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47" t="s">
        <v>55</v>
      </c>
      <c r="C69" s="44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49" t="s">
        <v>56</v>
      </c>
      <c r="C70" s="45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47" t="s">
        <v>57</v>
      </c>
      <c r="C71" s="44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63" t="s">
        <v>26</v>
      </c>
      <c r="C72" s="46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60" t="str">
        <f>IF('2a.  Simple Form Data Entry'!E124="","   ",'2a.  Simple Form Data Entry'!E124)</f>
        <v xml:space="preserve">   </v>
      </c>
      <c r="B75" s="461"/>
      <c r="C75" s="46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47" t="s">
        <v>55</v>
      </c>
      <c r="C79" s="44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49" t="s">
        <v>56</v>
      </c>
      <c r="C80" s="45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47" t="s">
        <v>57</v>
      </c>
      <c r="C81" s="44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63" t="s">
        <v>26</v>
      </c>
      <c r="C82" s="46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60" t="str">
        <f>IF('2a.  Simple Form Data Entry'!E135="","   ",'2a.  Simple Form Data Entry'!E135)</f>
        <v xml:space="preserve">   </v>
      </c>
      <c r="B85" s="461"/>
      <c r="C85" s="46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47" t="s">
        <v>55</v>
      </c>
      <c r="C89" s="44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49" t="s">
        <v>56</v>
      </c>
      <c r="C90" s="45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47" t="s">
        <v>57</v>
      </c>
      <c r="C91" s="44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63" t="s">
        <v>26</v>
      </c>
      <c r="C92" s="46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10950</v>
      </c>
      <c r="K95" s="56">
        <f t="shared" si="23"/>
        <v>22233</v>
      </c>
      <c r="L95" s="56">
        <f t="shared" si="10"/>
        <v>33183</v>
      </c>
      <c r="M95" s="56">
        <f t="shared" si="23"/>
        <v>22900</v>
      </c>
      <c r="N95" s="56">
        <f t="shared" si="23"/>
        <v>23587</v>
      </c>
      <c r="O95" s="56">
        <f t="shared" si="11"/>
        <v>46487</v>
      </c>
      <c r="P95" s="56">
        <f aca="true" t="shared" si="24" ref="P95:Q95">P73+P63+P53+P43+P83+P93</f>
        <v>24295</v>
      </c>
      <c r="Q95" s="56">
        <f t="shared" si="24"/>
        <v>12329</v>
      </c>
      <c r="R95" s="56">
        <f t="shared" si="12"/>
        <v>36624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88" t="s">
        <v>15</v>
      </c>
      <c r="B97" s="488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506" t="s">
        <v>18</v>
      </c>
      <c r="B101" s="507"/>
      <c r="C101" s="508"/>
      <c r="D101" s="472" t="s">
        <v>19</v>
      </c>
      <c r="E101" s="472" t="s">
        <v>5</v>
      </c>
      <c r="F101" s="465" t="s">
        <v>104</v>
      </c>
      <c r="G101" s="472" t="s">
        <v>11</v>
      </c>
      <c r="H101" s="483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67" t="str">
        <f>CONCATENATE(L24," Appropriation Change")</f>
        <v>2019 / 2020 Appropriation Change</v>
      </c>
      <c r="P101" s="42"/>
      <c r="Q101" s="314"/>
      <c r="R101" s="476" t="s">
        <v>137</v>
      </c>
      <c r="S101" s="477"/>
      <c r="T101" s="42"/>
    </row>
    <row r="102" spans="1:20" ht="27.75" customHeight="1" thickBot="1">
      <c r="A102" s="509"/>
      <c r="B102" s="510"/>
      <c r="C102" s="511"/>
      <c r="D102" s="473"/>
      <c r="E102" s="473"/>
      <c r="F102" s="466"/>
      <c r="G102" s="473"/>
      <c r="H102" s="484"/>
      <c r="I102" s="316"/>
      <c r="J102" s="191" t="s">
        <v>24</v>
      </c>
      <c r="K102" s="287" t="str">
        <f>'2a.  Simple Form Data Entry'!H156</f>
        <v>Allocation Change</v>
      </c>
      <c r="L102" s="468"/>
      <c r="P102" s="42"/>
      <c r="Q102" s="314"/>
      <c r="R102" s="478"/>
      <c r="S102" s="47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74">
        <f>'2a.  Simple Form Data Entry'!J157</f>
        <v>0</v>
      </c>
      <c r="S103" s="47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53">
        <f>'2a.  Simple Form Data Entry'!J158</f>
        <v>0</v>
      </c>
      <c r="S104" s="45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53">
        <f>'2a.  Simple Form Data Entry'!J159</f>
        <v>0</v>
      </c>
      <c r="S105" s="45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53">
        <f>'2a.  Simple Form Data Entry'!J160</f>
        <v>0</v>
      </c>
      <c r="S106" s="45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53">
        <f>'2a.  Simple Form Data Entry'!J161</f>
        <v>0</v>
      </c>
      <c r="S107" s="45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53">
        <f>'2a.  Simple Form Data Entry'!J162</f>
        <v>0</v>
      </c>
      <c r="S108" s="454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5">
        <f>SUM(R103:S107)</f>
        <v>0</v>
      </c>
      <c r="S109" s="45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85" t="str">
        <f>IF('2a.  Simple Form Data Entry'!G39="Y","See note 5 below.",'2a.  Simple Form Data Entry'!D43)</f>
        <v>An NPV analysis was not performed because …</v>
      </c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5"/>
    </row>
    <row r="113" spans="1:20" ht="13.5">
      <c r="A113" s="68" t="s">
        <v>112</v>
      </c>
      <c r="B113" s="480" t="s">
        <v>150</v>
      </c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5"/>
    </row>
    <row r="114" spans="1:20" ht="15" customHeight="1">
      <c r="A114" s="69" t="s">
        <v>52</v>
      </c>
      <c r="B114" s="481" t="s">
        <v>116</v>
      </c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5"/>
    </row>
    <row r="115" spans="1:20" ht="13.5">
      <c r="A115" s="69" t="s">
        <v>113</v>
      </c>
      <c r="B115" s="48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5"/>
    </row>
    <row r="116" spans="1:20" ht="13.5" customHeight="1">
      <c r="A116" s="67" t="s">
        <v>114</v>
      </c>
      <c r="B116" s="47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  <c r="T116" s="5"/>
    </row>
    <row r="117" spans="1:20" ht="16.5" customHeight="1">
      <c r="A117" s="67" t="s">
        <v>118</v>
      </c>
      <c r="B117" s="470" t="s">
        <v>111</v>
      </c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5"/>
    </row>
    <row r="118" spans="1:19" ht="14.25" customHeight="1">
      <c r="A118" s="67"/>
      <c r="B118" s="469" t="str">
        <f>'2a.  Simple Form Data Entry'!C174</f>
        <v>- Biennial costs based on 7/1/2019 start date.</v>
      </c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</row>
    <row r="119" spans="1:19" ht="13.5">
      <c r="A119" s="67"/>
      <c r="B119" s="469" t="str">
        <f>'2a.  Simple Form Data Entry'!C175</f>
        <v>- Operating costs estimated at $300/year with 3% annual increases</v>
      </c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</row>
    <row r="120" spans="1:19" ht="12.75" customHeight="1">
      <c r="A120" s="67"/>
      <c r="B120" s="469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</row>
    <row r="121" spans="1:19" ht="15" customHeight="1">
      <c r="A121" s="67"/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</row>
    <row r="122" spans="1:20" ht="13.5">
      <c r="A122" s="67"/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5"/>
    </row>
    <row r="123" spans="1:19" ht="13.5">
      <c r="A123" s="67"/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</row>
    <row r="124" spans="1:19" ht="13.5">
      <c r="A124" t="str">
        <f>IF('2a.  Simple Form Data Entry'!C180=""," ","6.")</f>
        <v xml:space="preserve"> </v>
      </c>
      <c r="B124" s="469"/>
      <c r="C124" s="469"/>
      <c r="D124" s="469"/>
      <c r="E124" s="469"/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</row>
    <row r="125" spans="1:19" ht="13.5">
      <c r="A125" s="69"/>
      <c r="B125" s="469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</row>
    <row r="126" spans="1:19" ht="13.5">
      <c r="A126" s="69"/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workbookViewId="0" topLeftCell="A1">
      <selection activeCell="F38" sqref="F38"/>
    </sheetView>
  </sheetViews>
  <sheetFormatPr defaultColWidth="9.140625" defaultRowHeight="12.75"/>
  <cols>
    <col min="1" max="1" width="13.00390625" style="337" customWidth="1"/>
    <col min="2" max="2" width="16.7109375" style="337" customWidth="1"/>
    <col min="3" max="3" width="8.8515625" style="337" hidden="1" customWidth="1"/>
    <col min="4" max="4" width="10.140625" style="337" customWidth="1"/>
    <col min="5" max="5" width="10.8515625" style="337" customWidth="1"/>
    <col min="6" max="6" width="10.28125" style="337" customWidth="1"/>
    <col min="7" max="7" width="11.421875" style="337" customWidth="1"/>
    <col min="8" max="8" width="10.421875" style="337" customWidth="1"/>
    <col min="9" max="9" width="13.57421875" style="337" customWidth="1"/>
    <col min="10" max="10" width="13.00390625" style="337" customWidth="1"/>
    <col min="11" max="12" width="12.57421875" style="337" customWidth="1"/>
    <col min="13" max="13" width="13.140625" style="337" customWidth="1"/>
    <col min="14" max="16384" width="9.140625" style="337" customWidth="1"/>
  </cols>
  <sheetData>
    <row r="1" ht="12.75">
      <c r="A1" s="336" t="s">
        <v>169</v>
      </c>
    </row>
    <row r="2" ht="12.75">
      <c r="A2" s="336" t="s">
        <v>170</v>
      </c>
    </row>
    <row r="4" ht="15.75" thickBot="1">
      <c r="A4" s="336" t="s">
        <v>171</v>
      </c>
    </row>
    <row r="5" spans="1:13" ht="15.75" thickBot="1">
      <c r="A5" s="338" t="s">
        <v>172</v>
      </c>
      <c r="B5" s="339" t="s">
        <v>173</v>
      </c>
      <c r="C5" s="340">
        <v>2017</v>
      </c>
      <c r="D5" s="341">
        <v>2019</v>
      </c>
      <c r="E5" s="341">
        <v>2020</v>
      </c>
      <c r="F5" s="340">
        <v>2021</v>
      </c>
      <c r="G5" s="340">
        <v>2022</v>
      </c>
      <c r="H5" s="341">
        <v>2023</v>
      </c>
      <c r="I5" s="341">
        <v>2024</v>
      </c>
      <c r="J5" s="340">
        <v>2025</v>
      </c>
      <c r="K5" s="340">
        <v>2026</v>
      </c>
      <c r="L5" s="342">
        <v>2027</v>
      </c>
      <c r="M5" s="342">
        <v>2028</v>
      </c>
    </row>
    <row r="6" spans="1:13" ht="12.75" hidden="1">
      <c r="A6" s="343" t="s">
        <v>174</v>
      </c>
      <c r="B6" s="344">
        <v>0</v>
      </c>
      <c r="C6" s="345">
        <v>0</v>
      </c>
      <c r="D6" s="345"/>
      <c r="E6" s="345"/>
      <c r="F6" s="345"/>
      <c r="G6" s="345"/>
      <c r="H6" s="345"/>
      <c r="I6" s="345"/>
      <c r="J6" s="345"/>
      <c r="K6" s="345"/>
      <c r="L6" s="345"/>
      <c r="M6" s="346"/>
    </row>
    <row r="7" spans="1:13" ht="12.75">
      <c r="A7" s="343" t="s">
        <v>175</v>
      </c>
      <c r="B7" s="344">
        <v>1800</v>
      </c>
      <c r="C7" s="345"/>
      <c r="D7" s="345">
        <f>B7*6</f>
        <v>10800</v>
      </c>
      <c r="E7" s="345">
        <f>+B7*6</f>
        <v>10800</v>
      </c>
      <c r="F7" s="345"/>
      <c r="G7" s="345"/>
      <c r="H7" s="345"/>
      <c r="I7" s="345"/>
      <c r="J7" s="345"/>
      <c r="K7" s="345"/>
      <c r="L7" s="345"/>
      <c r="M7" s="346"/>
    </row>
    <row r="8" spans="1:13" ht="12.75">
      <c r="A8" s="343" t="s">
        <v>176</v>
      </c>
      <c r="B8" s="344">
        <v>1854</v>
      </c>
      <c r="C8" s="345"/>
      <c r="D8" s="345"/>
      <c r="E8" s="345">
        <f>+B8*6</f>
        <v>11124</v>
      </c>
      <c r="F8" s="345">
        <f>+B8*6</f>
        <v>11124</v>
      </c>
      <c r="G8" s="345"/>
      <c r="H8" s="345"/>
      <c r="I8" s="345"/>
      <c r="J8" s="345"/>
      <c r="K8" s="345"/>
      <c r="L8" s="345"/>
      <c r="M8" s="346"/>
    </row>
    <row r="9" spans="1:13" ht="12.75">
      <c r="A9" s="343" t="s">
        <v>177</v>
      </c>
      <c r="B9" s="344">
        <v>1909.62</v>
      </c>
      <c r="C9" s="345"/>
      <c r="D9" s="345"/>
      <c r="E9" s="345"/>
      <c r="F9" s="345">
        <f>+B9*6</f>
        <v>11457.72</v>
      </c>
      <c r="G9" s="345">
        <f>+B9*6</f>
        <v>11457.72</v>
      </c>
      <c r="H9" s="345"/>
      <c r="I9" s="345"/>
      <c r="J9" s="345"/>
      <c r="K9" s="345"/>
      <c r="L9" s="345"/>
      <c r="M9" s="346"/>
    </row>
    <row r="10" spans="1:13" ht="12.75">
      <c r="A10" s="343" t="s">
        <v>178</v>
      </c>
      <c r="B10" s="344">
        <v>1966.91</v>
      </c>
      <c r="C10" s="345"/>
      <c r="D10" s="345"/>
      <c r="E10" s="345"/>
      <c r="F10" s="345"/>
      <c r="G10" s="345">
        <f>+B10*6</f>
        <v>11801.460000000001</v>
      </c>
      <c r="H10" s="345">
        <f>+B10*6</f>
        <v>11801.460000000001</v>
      </c>
      <c r="I10" s="345"/>
      <c r="J10" s="345"/>
      <c r="K10" s="345"/>
      <c r="L10" s="345"/>
      <c r="M10" s="346"/>
    </row>
    <row r="11" spans="1:13" ht="12.75">
      <c r="A11" s="343" t="s">
        <v>179</v>
      </c>
      <c r="B11" s="344">
        <v>2025.92</v>
      </c>
      <c r="C11" s="345"/>
      <c r="D11" s="345"/>
      <c r="E11" s="345"/>
      <c r="F11" s="345"/>
      <c r="G11" s="345"/>
      <c r="H11" s="345">
        <f>+B11*6</f>
        <v>12155.52</v>
      </c>
      <c r="I11" s="345">
        <f>+B11*6</f>
        <v>12155.52</v>
      </c>
      <c r="J11" s="345"/>
      <c r="K11" s="345"/>
      <c r="L11" s="345"/>
      <c r="M11" s="346"/>
    </row>
    <row r="12" spans="1:13" ht="12.75">
      <c r="A12" s="343" t="s">
        <v>180</v>
      </c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</row>
    <row r="13" spans="1:13" ht="12.75">
      <c r="A13" s="343" t="s">
        <v>181</v>
      </c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6"/>
    </row>
    <row r="14" spans="1:13" ht="12.75">
      <c r="A14" s="343" t="s">
        <v>182</v>
      </c>
      <c r="B14" s="344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6"/>
    </row>
    <row r="15" spans="1:13" ht="12.75">
      <c r="A15" s="343" t="s">
        <v>183</v>
      </c>
      <c r="B15" s="344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6"/>
    </row>
    <row r="16" spans="1:13" ht="15.75" thickBot="1">
      <c r="A16" s="343" t="s">
        <v>184</v>
      </c>
      <c r="B16" s="344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8"/>
    </row>
    <row r="17" spans="1:13" ht="15.75" thickBot="1">
      <c r="A17" s="349" t="s">
        <v>185</v>
      </c>
      <c r="B17" s="350"/>
      <c r="C17" s="351">
        <v>0</v>
      </c>
      <c r="D17" s="352">
        <f aca="true" t="shared" si="0" ref="D17:M17">SUM(D6:D16)</f>
        <v>10800</v>
      </c>
      <c r="E17" s="352">
        <f t="shared" si="0"/>
        <v>21924</v>
      </c>
      <c r="F17" s="352">
        <f t="shared" si="0"/>
        <v>22581.72</v>
      </c>
      <c r="G17" s="352">
        <f t="shared" si="0"/>
        <v>23259.18</v>
      </c>
      <c r="H17" s="352">
        <f t="shared" si="0"/>
        <v>23956.980000000003</v>
      </c>
      <c r="I17" s="352">
        <f t="shared" si="0"/>
        <v>12155.52</v>
      </c>
      <c r="J17" s="352">
        <f t="shared" si="0"/>
        <v>0</v>
      </c>
      <c r="K17" s="352">
        <f t="shared" si="0"/>
        <v>0</v>
      </c>
      <c r="L17" s="352">
        <f t="shared" si="0"/>
        <v>0</v>
      </c>
      <c r="M17" s="353">
        <f t="shared" si="0"/>
        <v>0</v>
      </c>
    </row>
    <row r="18" ht="12.75">
      <c r="A18" s="354"/>
    </row>
    <row r="19" spans="1:13" ht="12.75">
      <c r="A19" s="355"/>
      <c r="B19" s="356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</row>
    <row r="20" ht="15.75" thickBot="1">
      <c r="A20" s="358" t="s">
        <v>186</v>
      </c>
    </row>
    <row r="21" spans="1:13" ht="15.75" thickBot="1">
      <c r="A21" s="359" t="s">
        <v>187</v>
      </c>
      <c r="B21" s="360" t="s">
        <v>188</v>
      </c>
      <c r="C21" s="340">
        <v>2017</v>
      </c>
      <c r="D21" s="341">
        <v>2019</v>
      </c>
      <c r="E21" s="341">
        <v>2020</v>
      </c>
      <c r="F21" s="340">
        <v>2021</v>
      </c>
      <c r="G21" s="340">
        <v>2022</v>
      </c>
      <c r="H21" s="341">
        <v>2023</v>
      </c>
      <c r="I21" s="341">
        <v>2024</v>
      </c>
      <c r="J21" s="340">
        <v>2025</v>
      </c>
      <c r="K21" s="340">
        <v>2026</v>
      </c>
      <c r="L21" s="342">
        <v>2027</v>
      </c>
      <c r="M21" s="342">
        <v>2028</v>
      </c>
    </row>
    <row r="22" spans="1:13" ht="12.75">
      <c r="A22" s="343">
        <v>2019</v>
      </c>
      <c r="B22" s="361">
        <v>25</v>
      </c>
      <c r="C22" s="345"/>
      <c r="D22" s="345">
        <f>B22*6</f>
        <v>150</v>
      </c>
      <c r="E22" s="345"/>
      <c r="F22" s="345"/>
      <c r="G22" s="345"/>
      <c r="H22" s="345"/>
      <c r="I22" s="345"/>
      <c r="J22" s="345"/>
      <c r="K22" s="345"/>
      <c r="L22" s="345"/>
      <c r="M22" s="346"/>
    </row>
    <row r="23" spans="1:13" ht="12.75">
      <c r="A23" s="343">
        <v>2020</v>
      </c>
      <c r="B23" s="361">
        <f>+B22*1.03</f>
        <v>25.75</v>
      </c>
      <c r="C23" s="345"/>
      <c r="D23" s="345"/>
      <c r="E23" s="345">
        <f>B23*12</f>
        <v>309</v>
      </c>
      <c r="F23" s="345"/>
      <c r="G23" s="345"/>
      <c r="H23" s="345"/>
      <c r="I23" s="345"/>
      <c r="J23" s="345"/>
      <c r="K23" s="345"/>
      <c r="L23" s="345"/>
      <c r="M23" s="346"/>
    </row>
    <row r="24" spans="1:13" ht="12.75">
      <c r="A24" s="343">
        <v>2021</v>
      </c>
      <c r="B24" s="361">
        <f aca="true" t="shared" si="1" ref="B24:B27">+B23*1.03</f>
        <v>26.5225</v>
      </c>
      <c r="C24" s="345"/>
      <c r="D24" s="345"/>
      <c r="E24" s="345"/>
      <c r="F24" s="345">
        <f>B24*12</f>
        <v>318.27</v>
      </c>
      <c r="G24" s="345"/>
      <c r="H24" s="345"/>
      <c r="I24" s="345"/>
      <c r="J24" s="345"/>
      <c r="K24" s="345"/>
      <c r="L24" s="345"/>
      <c r="M24" s="346"/>
    </row>
    <row r="25" spans="1:13" ht="12.75">
      <c r="A25" s="343">
        <v>2022</v>
      </c>
      <c r="B25" s="361">
        <f t="shared" si="1"/>
        <v>27.318175</v>
      </c>
      <c r="C25" s="345"/>
      <c r="D25" s="345"/>
      <c r="E25" s="345"/>
      <c r="F25" s="345"/>
      <c r="G25" s="345">
        <f>B25*12</f>
        <v>327.8181</v>
      </c>
      <c r="H25" s="345"/>
      <c r="I25" s="345"/>
      <c r="J25" s="345"/>
      <c r="K25" s="345"/>
      <c r="L25" s="345"/>
      <c r="M25" s="346"/>
    </row>
    <row r="26" spans="1:13" ht="12.75">
      <c r="A26" s="343">
        <v>2023</v>
      </c>
      <c r="B26" s="361">
        <f t="shared" si="1"/>
        <v>28.13772025</v>
      </c>
      <c r="C26" s="345"/>
      <c r="D26" s="345"/>
      <c r="E26" s="345"/>
      <c r="F26" s="345"/>
      <c r="G26" s="345"/>
      <c r="H26" s="345">
        <f>B26*12</f>
        <v>337.652643</v>
      </c>
      <c r="I26" s="345"/>
      <c r="J26" s="345"/>
      <c r="K26" s="345"/>
      <c r="L26" s="345"/>
      <c r="M26" s="346"/>
    </row>
    <row r="27" spans="1:13" ht="12.75">
      <c r="A27" s="343">
        <v>2024</v>
      </c>
      <c r="B27" s="361">
        <f t="shared" si="1"/>
        <v>28.9818518575</v>
      </c>
      <c r="C27" s="345"/>
      <c r="D27" s="345"/>
      <c r="E27" s="345"/>
      <c r="F27" s="345"/>
      <c r="G27" s="345"/>
      <c r="H27" s="345"/>
      <c r="I27" s="362">
        <f>B27*6</f>
        <v>173.891111145</v>
      </c>
      <c r="J27" s="345"/>
      <c r="K27" s="345"/>
      <c r="L27" s="345"/>
      <c r="M27" s="346"/>
    </row>
    <row r="28" spans="1:13" ht="12.75">
      <c r="A28" s="343">
        <v>2025</v>
      </c>
      <c r="B28" s="361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6"/>
    </row>
    <row r="29" spans="1:13" ht="12.75">
      <c r="A29" s="343">
        <v>2026</v>
      </c>
      <c r="B29" s="361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6"/>
    </row>
    <row r="30" spans="1:13" ht="12.75">
      <c r="A30" s="343">
        <v>2027</v>
      </c>
      <c r="B30" s="361"/>
      <c r="C30" s="345"/>
      <c r="D30" s="345"/>
      <c r="E30" s="345"/>
      <c r="F30" s="345"/>
      <c r="G30" s="345"/>
      <c r="H30" s="345"/>
      <c r="I30" s="345"/>
      <c r="J30" s="345"/>
      <c r="K30" s="345"/>
      <c r="L30" s="362"/>
      <c r="M30" s="346"/>
    </row>
    <row r="31" spans="1:13" ht="15.75" thickBot="1">
      <c r="A31" s="363">
        <v>2028</v>
      </c>
      <c r="B31" s="364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8"/>
    </row>
    <row r="32" spans="1:13" ht="12.75">
      <c r="A32" s="365" t="s">
        <v>193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</row>
    <row r="33" spans="1:13" ht="15.75" thickBo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</row>
    <row r="34" spans="1:13" ht="12.75">
      <c r="A34" s="366"/>
      <c r="B34" s="367"/>
      <c r="C34" s="368">
        <v>2017</v>
      </c>
      <c r="D34" s="369">
        <v>2019</v>
      </c>
      <c r="E34" s="369">
        <v>2020</v>
      </c>
      <c r="F34" s="368">
        <v>2021</v>
      </c>
      <c r="G34" s="368">
        <v>2022</v>
      </c>
      <c r="H34" s="369">
        <v>2023</v>
      </c>
      <c r="I34" s="369">
        <v>2024</v>
      </c>
      <c r="J34" s="368">
        <v>2025</v>
      </c>
      <c r="K34" s="368">
        <v>2026</v>
      </c>
      <c r="L34" s="370">
        <v>2027</v>
      </c>
      <c r="M34" s="370">
        <v>2028</v>
      </c>
    </row>
    <row r="35" spans="1:13" ht="24" customHeight="1" thickBot="1">
      <c r="A35" s="371" t="s">
        <v>189</v>
      </c>
      <c r="B35" s="372"/>
      <c r="C35" s="373" t="e">
        <f>SUM(C6+#REF!)</f>
        <v>#REF!</v>
      </c>
      <c r="D35" s="373">
        <f>SUM(D17+D22)</f>
        <v>10950</v>
      </c>
      <c r="E35" s="373">
        <f>SUM(E17+E23)</f>
        <v>22233</v>
      </c>
      <c r="F35" s="373">
        <f>SUM(F17+F24)</f>
        <v>22899.99</v>
      </c>
      <c r="G35" s="373">
        <f>SUM(G17+G25)</f>
        <v>23586.9981</v>
      </c>
      <c r="H35" s="373">
        <f>SUM(H17+H26)</f>
        <v>24294.632643000004</v>
      </c>
      <c r="I35" s="373">
        <f>SUM(I17+I27)</f>
        <v>12329.411111145</v>
      </c>
      <c r="J35" s="373">
        <f>SUM(J17+J28)</f>
        <v>0</v>
      </c>
      <c r="K35" s="373">
        <f>SUM(K17+K29)</f>
        <v>0</v>
      </c>
      <c r="L35" s="373">
        <f>SUM(L17+L30)</f>
        <v>0</v>
      </c>
      <c r="M35" s="374">
        <f>SUM(M17+M31)</f>
        <v>0</v>
      </c>
    </row>
    <row r="36" spans="1:13" ht="18.75" thickBot="1" thickTop="1">
      <c r="A36" s="375" t="s">
        <v>190</v>
      </c>
      <c r="B36" s="376"/>
      <c r="C36" s="377"/>
      <c r="D36" s="378"/>
      <c r="E36" s="378">
        <f>SUM(D35:E35)</f>
        <v>33183</v>
      </c>
      <c r="F36" s="379"/>
      <c r="G36" s="379">
        <f>SUM(F35:G35)</f>
        <v>46486.9881</v>
      </c>
      <c r="H36" s="378"/>
      <c r="I36" s="378">
        <f>SUM(H35:I35)</f>
        <v>36624.04375414501</v>
      </c>
      <c r="J36" s="379"/>
      <c r="K36" s="379">
        <f>SUM(J35:K35)</f>
        <v>0</v>
      </c>
      <c r="L36" s="378"/>
      <c r="M36" s="380">
        <f>SUM(L35:M35)</f>
        <v>0</v>
      </c>
    </row>
    <row r="37" spans="1:13" ht="15.75" thickBot="1">
      <c r="A37" s="381"/>
      <c r="B37" s="381"/>
      <c r="C37" s="381"/>
      <c r="D37" s="381"/>
      <c r="E37" s="381"/>
      <c r="F37" s="381"/>
      <c r="G37" s="365"/>
      <c r="H37" s="365"/>
      <c r="I37" s="365"/>
      <c r="J37" s="365"/>
      <c r="K37" s="365"/>
      <c r="L37" s="365"/>
      <c r="M37" s="365"/>
    </row>
    <row r="38" spans="1:13" ht="20.25" customHeight="1" thickBot="1">
      <c r="A38" s="365" t="s">
        <v>191</v>
      </c>
      <c r="B38" s="365"/>
      <c r="C38" s="365"/>
      <c r="D38" s="365"/>
      <c r="E38" s="365"/>
      <c r="F38" s="365"/>
      <c r="G38" s="365"/>
      <c r="H38" s="365"/>
      <c r="I38" s="365"/>
      <c r="J38" s="382" t="s">
        <v>192</v>
      </c>
      <c r="K38" s="383"/>
      <c r="L38" s="384"/>
      <c r="M38" s="385">
        <f>SUM(C36:M36)</f>
        <v>116294.03185414501</v>
      </c>
    </row>
  </sheetData>
  <printOptions/>
  <pageMargins left="0.7" right="0.7" top="0.25" bottom="0.2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8" t="s">
        <v>126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0" t="s">
        <v>76</v>
      </c>
      <c r="E11" s="420"/>
      <c r="F11" s="42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2" t="s">
        <v>75</v>
      </c>
      <c r="E12" s="422"/>
      <c r="F12" s="42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2" t="s">
        <v>74</v>
      </c>
      <c r="E13" s="422"/>
      <c r="F13" s="42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24" t="s">
        <v>73</v>
      </c>
      <c r="E14" s="422"/>
      <c r="F14" s="42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2" t="s">
        <v>72</v>
      </c>
      <c r="E15" s="422"/>
      <c r="F15" s="42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2" t="s">
        <v>103</v>
      </c>
      <c r="E16" s="42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2" t="s">
        <v>69</v>
      </c>
      <c r="E17" s="422"/>
      <c r="F17" s="42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0" t="s">
        <v>70</v>
      </c>
      <c r="E18" s="420"/>
      <c r="F18" s="42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20" t="s">
        <v>139</v>
      </c>
      <c r="E19" s="420"/>
      <c r="F19" s="421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12" t="s">
        <v>34</v>
      </c>
      <c r="H20" s="412"/>
      <c r="I20" s="41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18" t="s">
        <v>125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8" t="s">
        <v>77</v>
      </c>
      <c r="E40" s="428"/>
      <c r="F40" s="42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8" t="s">
        <v>78</v>
      </c>
      <c r="E41" s="428"/>
      <c r="F41" s="42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2" t="s">
        <v>134</v>
      </c>
      <c r="E43" s="433"/>
      <c r="F43" s="433"/>
      <c r="G43" s="433"/>
      <c r="H43" s="433"/>
      <c r="I43" s="43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5" t="s">
        <v>99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9" t="s">
        <v>20</v>
      </c>
      <c r="F57" s="419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30"/>
      <c r="F58" s="43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6" t="s">
        <v>84</v>
      </c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9"/>
      <c r="D69" s="409"/>
      <c r="E69" s="409"/>
      <c r="F69" s="40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8" t="s">
        <v>85</v>
      </c>
      <c r="F71" s="428"/>
      <c r="G71" s="428"/>
      <c r="H71" s="428"/>
      <c r="I71" s="428"/>
      <c r="J71" s="428"/>
      <c r="K71" s="428"/>
      <c r="L71" s="428"/>
      <c r="M71" s="428"/>
      <c r="N71" s="180"/>
      <c r="O71" s="211"/>
    </row>
    <row r="72" spans="2:15" ht="13.5" customHeight="1">
      <c r="B72" s="210"/>
      <c r="C72" s="268" t="s">
        <v>25</v>
      </c>
      <c r="D72" s="269"/>
      <c r="E72" s="413" t="s">
        <v>86</v>
      </c>
      <c r="F72" s="413"/>
      <c r="G72" s="413"/>
      <c r="H72" s="413"/>
      <c r="I72" s="413"/>
      <c r="J72" s="413"/>
      <c r="K72" s="413"/>
      <c r="L72" s="413"/>
      <c r="M72" s="413"/>
      <c r="N72" s="181"/>
      <c r="O72" s="211"/>
    </row>
    <row r="73" spans="2:15" ht="14.25">
      <c r="B73" s="210"/>
      <c r="C73" s="268" t="s">
        <v>53</v>
      </c>
      <c r="D73" s="269"/>
      <c r="E73" s="413" t="s">
        <v>87</v>
      </c>
      <c r="F73" s="393"/>
      <c r="G73" s="393"/>
      <c r="H73" s="393"/>
      <c r="I73" s="393"/>
      <c r="J73" s="393"/>
      <c r="K73" s="393"/>
      <c r="L73" s="393"/>
      <c r="M73" s="393"/>
      <c r="N73" s="179"/>
      <c r="O73" s="211"/>
    </row>
    <row r="74" spans="2:15" ht="14.25">
      <c r="B74" s="210"/>
      <c r="C74" s="426" t="s">
        <v>55</v>
      </c>
      <c r="D74" s="426"/>
      <c r="E74" s="413" t="s">
        <v>88</v>
      </c>
      <c r="F74" s="393"/>
      <c r="G74" s="393"/>
      <c r="H74" s="393"/>
      <c r="I74" s="393"/>
      <c r="J74" s="393"/>
      <c r="K74" s="393"/>
      <c r="L74" s="393"/>
      <c r="M74" s="393"/>
      <c r="N74" s="179"/>
      <c r="O74" s="211"/>
    </row>
    <row r="75" spans="2:15" ht="14.25" customHeight="1">
      <c r="B75" s="210"/>
      <c r="C75" s="425" t="s">
        <v>56</v>
      </c>
      <c r="D75" s="425"/>
      <c r="E75" s="413" t="s">
        <v>89</v>
      </c>
      <c r="F75" s="413"/>
      <c r="G75" s="413"/>
      <c r="H75" s="413"/>
      <c r="I75" s="413"/>
      <c r="J75" s="413"/>
      <c r="K75" s="413"/>
      <c r="L75" s="413"/>
      <c r="M75" s="413"/>
      <c r="N75" s="181"/>
      <c r="O75" s="211"/>
    </row>
    <row r="76" spans="2:15" ht="14.25">
      <c r="B76" s="210"/>
      <c r="C76" s="426" t="s">
        <v>57</v>
      </c>
      <c r="D76" s="426"/>
      <c r="E76" s="413"/>
      <c r="F76" s="393"/>
      <c r="G76" s="393"/>
      <c r="H76" s="393"/>
      <c r="I76" s="393"/>
      <c r="J76" s="393"/>
      <c r="K76" s="393"/>
      <c r="L76" s="393"/>
      <c r="M76" s="393"/>
      <c r="N76" s="179"/>
      <c r="O76" s="211"/>
    </row>
    <row r="77" spans="2:15" ht="15" customHeight="1">
      <c r="B77" s="210"/>
      <c r="C77" s="427" t="s">
        <v>26</v>
      </c>
      <c r="D77" s="427"/>
      <c r="E77" s="413" t="s">
        <v>90</v>
      </c>
      <c r="F77" s="393"/>
      <c r="G77" s="393"/>
      <c r="H77" s="393"/>
      <c r="I77" s="393"/>
      <c r="J77" s="393"/>
      <c r="K77" s="393"/>
      <c r="L77" s="393"/>
      <c r="M77" s="39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99" t="s">
        <v>40</v>
      </c>
      <c r="D81" s="399"/>
      <c r="E81" s="400" t="s">
        <v>22</v>
      </c>
      <c r="F81" s="400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4" t="s">
        <v>56</v>
      </c>
      <c r="D86" s="41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6" t="s">
        <v>26</v>
      </c>
      <c r="D88" s="41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99" t="s">
        <v>40</v>
      </c>
      <c r="D92" s="399"/>
      <c r="E92" s="400" t="s">
        <v>22</v>
      </c>
      <c r="F92" s="400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4" t="s">
        <v>56</v>
      </c>
      <c r="D97" s="41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6" t="s">
        <v>26</v>
      </c>
      <c r="D99" s="41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99" t="s">
        <v>40</v>
      </c>
      <c r="D103" s="399"/>
      <c r="E103" s="400" t="s">
        <v>22</v>
      </c>
      <c r="F103" s="400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14" t="s">
        <v>56</v>
      </c>
      <c r="D108" s="41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6" t="s">
        <v>26</v>
      </c>
      <c r="D110" s="41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99" t="s">
        <v>40</v>
      </c>
      <c r="D114" s="399"/>
      <c r="E114" s="400" t="s">
        <v>22</v>
      </c>
      <c r="F114" s="400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01" t="s">
        <v>55</v>
      </c>
      <c r="D118" s="40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03" t="s">
        <v>56</v>
      </c>
      <c r="D119" s="40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01" t="s">
        <v>57</v>
      </c>
      <c r="D120" s="40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05" t="s">
        <v>26</v>
      </c>
      <c r="D121" s="40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99" t="s">
        <v>40</v>
      </c>
      <c r="D125" s="399"/>
      <c r="E125" s="400" t="s">
        <v>22</v>
      </c>
      <c r="F125" s="400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01" t="s">
        <v>55</v>
      </c>
      <c r="D129" s="40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03" t="s">
        <v>56</v>
      </c>
      <c r="D130" s="40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01" t="s">
        <v>57</v>
      </c>
      <c r="D131" s="40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05" t="s">
        <v>26</v>
      </c>
      <c r="D132" s="40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99" t="s">
        <v>40</v>
      </c>
      <c r="D136" s="399"/>
      <c r="E136" s="400" t="s">
        <v>22</v>
      </c>
      <c r="F136" s="400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01" t="s">
        <v>55</v>
      </c>
      <c r="D140" s="40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03" t="s">
        <v>56</v>
      </c>
      <c r="D141" s="40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01" t="s">
        <v>57</v>
      </c>
      <c r="D142" s="40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05" t="s">
        <v>26</v>
      </c>
      <c r="D143" s="40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93" t="s">
        <v>100</v>
      </c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179"/>
      <c r="O148" s="224"/>
      <c r="P148" s="225"/>
      <c r="Q148" s="225"/>
    </row>
    <row r="149" spans="2:17" ht="15" customHeight="1">
      <c r="B149" s="210"/>
      <c r="C149" s="393" t="s">
        <v>132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07" t="s">
        <v>18</v>
      </c>
      <c r="D155" s="407" t="s">
        <v>39</v>
      </c>
      <c r="E155" s="397" t="s">
        <v>23</v>
      </c>
      <c r="F155" s="39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0"/>
      <c r="D156" s="400"/>
      <c r="E156" s="398"/>
      <c r="F156" s="39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93" t="s">
        <v>154</v>
      </c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179"/>
      <c r="O173" s="224"/>
    </row>
    <row r="174" spans="2:15" ht="34.5" customHeight="1" thickBot="1">
      <c r="B174" s="210"/>
      <c r="C174" s="390" t="s">
        <v>141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4" t="s">
        <v>123</v>
      </c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6"/>
      <c r="O175" s="224"/>
    </row>
    <row r="176" spans="2:15" ht="34.5" customHeight="1" thickBot="1">
      <c r="B176" s="210"/>
      <c r="C176" s="394" t="s">
        <v>123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6"/>
      <c r="O176" s="224"/>
    </row>
    <row r="177" spans="2:15" ht="34.5" customHeight="1" thickBot="1">
      <c r="B177" s="210"/>
      <c r="C177" s="394" t="s">
        <v>123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34.5" customHeight="1" thickBot="1">
      <c r="B178" s="210"/>
      <c r="C178" s="394" t="s">
        <v>123</v>
      </c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93" t="s">
        <v>140</v>
      </c>
      <c r="D180" s="393"/>
      <c r="E180" s="393"/>
      <c r="F180" s="393"/>
      <c r="G180" s="393"/>
      <c r="H180" s="393"/>
      <c r="I180" s="393"/>
      <c r="J180" s="393"/>
      <c r="K180" s="393"/>
      <c r="L180" s="393"/>
      <c r="M180" s="39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3" t="s">
        <v>31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"/>
    </row>
    <row r="4" spans="1:20" ht="3" customHeight="1" thickBot="1" thickTop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1"/>
    </row>
    <row r="5" spans="1:19" ht="13.5">
      <c r="A5" s="504" t="s">
        <v>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1:20" ht="13.5">
      <c r="A6" s="500" t="s">
        <v>0</v>
      </c>
      <c r="B6" s="501"/>
      <c r="C6" s="499" t="str">
        <f>IF('2b.  Complex Form Data Entry'!G11="","   ",'2b.  Complex Form Data Entry'!G11)</f>
        <v xml:space="preserve">   </v>
      </c>
      <c r="D6" s="499"/>
      <c r="E6" s="499"/>
      <c r="F6" s="499"/>
      <c r="G6" s="499"/>
      <c r="H6" s="499"/>
      <c r="I6" s="499"/>
      <c r="J6" s="49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505" t="s">
        <v>152</v>
      </c>
      <c r="B7" s="496"/>
      <c r="C7" s="486" t="str">
        <f>IF('2b.  Complex Form Data Entry'!G12="","   ",'2b.  Complex Form Data Entry'!G12)</f>
        <v xml:space="preserve">   </v>
      </c>
      <c r="D7" s="486"/>
      <c r="E7" s="486"/>
      <c r="F7" s="486"/>
      <c r="G7" s="486"/>
      <c r="H7" s="486"/>
      <c r="I7" s="486"/>
      <c r="J7" s="48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97" t="s">
        <v>2</v>
      </c>
      <c r="B8" s="498"/>
      <c r="C8" s="292" t="str">
        <f>IF('2b.  Complex Form Data Entry'!G15="","   ",'2b.  Complex Form Data Entry'!G15)</f>
        <v xml:space="preserve">   </v>
      </c>
      <c r="E8" s="292"/>
      <c r="F8" s="498" t="s">
        <v>8</v>
      </c>
      <c r="G8" s="498"/>
      <c r="H8" s="329" t="str">
        <f>IF('2b.  Complex Form Data Entry'!G15=""," ",'2b.  Complex Form Data Entry'!G16)</f>
        <v xml:space="preserve"> </v>
      </c>
      <c r="I8" s="292"/>
      <c r="J8" s="292"/>
      <c r="L8" s="496" t="s">
        <v>10</v>
      </c>
      <c r="M8" s="496"/>
      <c r="N8" s="496"/>
      <c r="O8" s="49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97" t="s">
        <v>3</v>
      </c>
      <c r="B9" s="498"/>
      <c r="C9" s="295"/>
      <c r="D9" s="292"/>
      <c r="E9" s="292"/>
      <c r="F9" s="498" t="s">
        <v>13</v>
      </c>
      <c r="G9" s="498"/>
      <c r="H9" s="292"/>
      <c r="I9" s="292"/>
      <c r="J9" s="292"/>
      <c r="L9" s="496" t="s">
        <v>9</v>
      </c>
      <c r="M9" s="496"/>
      <c r="N9" s="496"/>
      <c r="O9" s="49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9" t="str">
        <f>IF('2b.  Complex Form Data Entry'!G10=""," ",'2b.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3" t="s">
        <v>14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89" t="s">
        <v>32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93" t="s">
        <v>145</v>
      </c>
      <c r="B17" s="493"/>
      <c r="C17" s="493"/>
      <c r="D17" s="493"/>
      <c r="E17" s="512" t="str">
        <f>IF('2b.  Complex Form Data Entry'!G39="N","NA",'2b.  Complex Form Data Entry'!G40)</f>
        <v>NA</v>
      </c>
      <c r="F17" s="513"/>
      <c r="G17" s="514"/>
      <c r="H17" s="451" t="s">
        <v>153</v>
      </c>
      <c r="I17" s="452"/>
      <c r="J17" s="452"/>
      <c r="K17" s="452"/>
      <c r="L17" s="452"/>
      <c r="M17" s="452"/>
      <c r="N17" s="310"/>
      <c r="O17" s="512" t="str">
        <f>IF('2b.  Complex Form Data Entry'!G39="N","NA",'2b.  Complex Form Data Entry'!G41)</f>
        <v>NA</v>
      </c>
      <c r="P17" s="513"/>
      <c r="Q17" s="513"/>
      <c r="R17" s="513"/>
      <c r="S17" s="51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89" t="s">
        <v>33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57" t="str">
        <f>IF('2b.  Complex Form Data Entry'!E80="","   ",'2b.  Complex Form Data Entry'!E80)</f>
        <v xml:space="preserve">   </v>
      </c>
      <c r="B35" s="458"/>
      <c r="C35" s="45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47" t="s">
        <v>55</v>
      </c>
      <c r="C39" s="44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49" t="s">
        <v>56</v>
      </c>
      <c r="C40" s="45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47" t="s">
        <v>57</v>
      </c>
      <c r="C41" s="44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63" t="s">
        <v>26</v>
      </c>
      <c r="C42" s="46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0" t="str">
        <f>IF('2b.  Complex Form Data Entry'!E91="","   ",'2b.  Complex Form Data Entry'!E91)</f>
        <v xml:space="preserve">   </v>
      </c>
      <c r="B45" s="461"/>
      <c r="C45" s="46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47" t="s">
        <v>55</v>
      </c>
      <c r="C49" s="44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49" t="s">
        <v>56</v>
      </c>
      <c r="C50" s="45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47" t="s">
        <v>57</v>
      </c>
      <c r="C51" s="44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63" t="s">
        <v>26</v>
      </c>
      <c r="C52" s="46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60" t="str">
        <f>IF('2b.  Complex Form Data Entry'!E102="","   ",'2b.  Complex Form Data Entry'!E102)</f>
        <v xml:space="preserve">   </v>
      </c>
      <c r="B55" s="461"/>
      <c r="C55" s="46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47" t="s">
        <v>55</v>
      </c>
      <c r="C59" s="44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49" t="s">
        <v>56</v>
      </c>
      <c r="C60" s="45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47" t="s">
        <v>57</v>
      </c>
      <c r="C61" s="44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63" t="s">
        <v>26</v>
      </c>
      <c r="C62" s="46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60" t="str">
        <f>IF('2b.  Complex Form Data Entry'!E113="","   ",'2b.  Complex Form Data Entry'!E113)</f>
        <v xml:space="preserve">   </v>
      </c>
      <c r="B65" s="461"/>
      <c r="C65" s="46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47" t="s">
        <v>55</v>
      </c>
      <c r="C69" s="44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49" t="s">
        <v>56</v>
      </c>
      <c r="C70" s="45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47" t="s">
        <v>57</v>
      </c>
      <c r="C71" s="44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63" t="s">
        <v>26</v>
      </c>
      <c r="C72" s="46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60" t="str">
        <f>IF('2b.  Complex Form Data Entry'!E124="","   ",'2b.  Complex Form Data Entry'!E124)</f>
        <v xml:space="preserve">   </v>
      </c>
      <c r="B75" s="461"/>
      <c r="C75" s="46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47" t="s">
        <v>55</v>
      </c>
      <c r="C79" s="44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49" t="s">
        <v>56</v>
      </c>
      <c r="C80" s="45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47" t="s">
        <v>57</v>
      </c>
      <c r="C81" s="44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63" t="s">
        <v>26</v>
      </c>
      <c r="C82" s="46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60" t="str">
        <f>IF('2b.  Complex Form Data Entry'!E135="","   ",'2b.  Complex Form Data Entry'!E135)</f>
        <v xml:space="preserve">   </v>
      </c>
      <c r="B85" s="461"/>
      <c r="C85" s="46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47" t="s">
        <v>55</v>
      </c>
      <c r="C89" s="44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49" t="s">
        <v>56</v>
      </c>
      <c r="C90" s="45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47" t="s">
        <v>57</v>
      </c>
      <c r="C91" s="44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63" t="s">
        <v>26</v>
      </c>
      <c r="C92" s="46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87" t="s">
        <v>133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43" t="s">
        <v>31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1"/>
    </row>
    <row r="100" spans="1:20" ht="3" customHeight="1" thickBot="1" thickTop="1">
      <c r="A100" s="494"/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1"/>
    </row>
    <row r="101" spans="1:19" ht="13.5">
      <c r="A101" s="504" t="s">
        <v>7</v>
      </c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3"/>
    </row>
    <row r="102" spans="1:20" ht="13.5">
      <c r="A102" s="500" t="s">
        <v>0</v>
      </c>
      <c r="B102" s="501"/>
      <c r="C102" s="499" t="str">
        <f>IF('2b.  Complex Form Data Entry'!G11="","   ",'2b.  Complex Form Data Entry'!G11)</f>
        <v xml:space="preserve">   </v>
      </c>
      <c r="D102" s="499"/>
      <c r="E102" s="499"/>
      <c r="F102" s="499"/>
      <c r="G102" s="499"/>
      <c r="H102" s="499"/>
      <c r="I102" s="499"/>
      <c r="J102" s="49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505" t="s">
        <v>152</v>
      </c>
      <c r="B103" s="496"/>
      <c r="C103" s="486" t="str">
        <f>IF('2b.  Complex Form Data Entry'!G12="","   ",'2b.  Complex Form Data Entry'!G12)</f>
        <v xml:space="preserve">   </v>
      </c>
      <c r="D103" s="486"/>
      <c r="E103" s="486"/>
      <c r="F103" s="486"/>
      <c r="G103" s="486"/>
      <c r="H103" s="486"/>
      <c r="I103" s="486"/>
      <c r="J103" s="48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97" t="s">
        <v>2</v>
      </c>
      <c r="B104" s="498"/>
      <c r="C104" s="298" t="str">
        <f>IF('2b.  Complex Form Data Entry'!G15="","   ",'2b.  Complex Form Data Entry'!G15)</f>
        <v xml:space="preserve">   </v>
      </c>
      <c r="E104" s="298"/>
      <c r="F104" s="498" t="s">
        <v>8</v>
      </c>
      <c r="G104" s="498"/>
      <c r="H104" s="329" t="str">
        <f>IF('2b.  Complex Form Data Entry'!G15=""," ",'2b.  Complex Form Data Entry'!G16)</f>
        <v xml:space="preserve"> </v>
      </c>
      <c r="I104" s="298"/>
      <c r="J104" s="298"/>
      <c r="L104" s="496" t="s">
        <v>10</v>
      </c>
      <c r="M104" s="496"/>
      <c r="N104" s="496"/>
      <c r="O104" s="49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97" t="s">
        <v>3</v>
      </c>
      <c r="B105" s="498"/>
      <c r="C105" s="300"/>
      <c r="D105" s="298"/>
      <c r="E105" s="298"/>
      <c r="F105" s="498" t="s">
        <v>13</v>
      </c>
      <c r="G105" s="498"/>
      <c r="H105" s="298"/>
      <c r="I105" s="298"/>
      <c r="J105" s="298"/>
      <c r="L105" s="496" t="s">
        <v>9</v>
      </c>
      <c r="M105" s="496"/>
      <c r="N105" s="496"/>
      <c r="O105" s="49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9" t="str">
        <f>IF('2b.  Complex Form Data Entry'!G10=""," ",'2b.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5" thickBot="1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Bot="1" thickTop="1">
      <c r="A108" s="488" t="s">
        <v>15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506" t="s">
        <v>18</v>
      </c>
      <c r="B112" s="507"/>
      <c r="C112" s="508"/>
      <c r="D112" s="472" t="s">
        <v>19</v>
      </c>
      <c r="E112" s="472" t="s">
        <v>5</v>
      </c>
      <c r="F112" s="465" t="s">
        <v>104</v>
      </c>
      <c r="G112" s="472" t="s">
        <v>11</v>
      </c>
      <c r="H112" s="483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67" t="str">
        <f>CONCATENATE(L34," Appropriation Change")</f>
        <v>2019 / 2020 Appropriation Change</v>
      </c>
      <c r="O112" s="303"/>
      <c r="P112" s="303"/>
      <c r="Q112" s="303"/>
      <c r="R112" s="476" t="s">
        <v>138</v>
      </c>
      <c r="S112" s="477"/>
      <c r="T112" s="42"/>
    </row>
    <row r="113" spans="1:20" ht="37.5" customHeight="1" thickBot="1">
      <c r="A113" s="509"/>
      <c r="B113" s="510"/>
      <c r="C113" s="511"/>
      <c r="D113" s="473"/>
      <c r="E113" s="473"/>
      <c r="F113" s="466"/>
      <c r="G113" s="473"/>
      <c r="H113" s="484"/>
      <c r="I113" s="316"/>
      <c r="J113" s="191" t="s">
        <v>24</v>
      </c>
      <c r="K113" s="287" t="str">
        <f>'2b.  Complex Form Data Entry'!H156</f>
        <v>Allocation Change</v>
      </c>
      <c r="L113" s="468"/>
      <c r="O113" s="303"/>
      <c r="P113" s="303"/>
      <c r="Q113" s="303"/>
      <c r="R113" s="478"/>
      <c r="S113" s="47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16">
        <f>'2b.  Complex Form Data Entry'!J157</f>
        <v>0</v>
      </c>
      <c r="S114" s="51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16">
        <f>'2b.  Complex Form Data Entry'!J158</f>
        <v>0</v>
      </c>
      <c r="S115" s="51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16">
        <f>'2b.  Complex Form Data Entry'!J159</f>
        <v>0</v>
      </c>
      <c r="S116" s="51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16">
        <f>'2b.  Complex Form Data Entry'!J160</f>
        <v>0</v>
      </c>
      <c r="S117" s="51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16">
        <f>'2b.  Complex Form Data Entry'!J161</f>
        <v>0</v>
      </c>
      <c r="S118" s="51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16">
        <f>'2b.  Complex Form Data Entry'!J162</f>
        <v>0</v>
      </c>
      <c r="S119" s="51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18">
        <f>SUM(R114:S119)</f>
        <v>0</v>
      </c>
      <c r="S120" s="51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85" t="str">
        <f>IF('2b.  Complex Form Data Entry'!G39="Y","See note 5 below.",'2b.  Complex Form Data Entry'!D43)</f>
        <v>An NPV analysis was not performed because …</v>
      </c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5"/>
    </row>
    <row r="124" spans="1:20" ht="13.5">
      <c r="A124" s="68" t="s">
        <v>112</v>
      </c>
      <c r="B124" s="480" t="s">
        <v>150</v>
      </c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5"/>
    </row>
    <row r="125" spans="1:20" ht="14.25" customHeight="1">
      <c r="A125" s="69" t="s">
        <v>52</v>
      </c>
      <c r="B125" s="515" t="s">
        <v>116</v>
      </c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  <c r="Q125" s="515"/>
      <c r="R125" s="515"/>
      <c r="S125" s="515"/>
      <c r="T125" s="5"/>
    </row>
    <row r="126" spans="1:20" ht="16.5" customHeight="1">
      <c r="A126" s="69" t="s">
        <v>113</v>
      </c>
      <c r="B126" s="48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5"/>
    </row>
    <row r="127" spans="1:20" ht="14.25" customHeight="1">
      <c r="A127" s="67" t="s">
        <v>114</v>
      </c>
      <c r="B127" s="47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71"/>
      <c r="D127" s="471"/>
      <c r="E127" s="471"/>
      <c r="F127" s="471"/>
      <c r="G127" s="471"/>
      <c r="H127" s="471"/>
      <c r="I127" s="471"/>
      <c r="J127" s="471"/>
      <c r="K127" s="471"/>
      <c r="L127" s="471"/>
      <c r="M127" s="471"/>
      <c r="N127" s="471"/>
      <c r="O127" s="471"/>
      <c r="P127" s="471"/>
      <c r="Q127" s="471"/>
      <c r="R127" s="471"/>
      <c r="S127" s="471"/>
      <c r="T127" s="5"/>
    </row>
    <row r="128" spans="1:20" ht="16.5" customHeight="1">
      <c r="A128" s="67" t="s">
        <v>118</v>
      </c>
      <c r="B128" s="470" t="s">
        <v>111</v>
      </c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5"/>
    </row>
    <row r="129" spans="1:19" ht="14.25" customHeight="1">
      <c r="A129" s="67"/>
      <c r="B129" s="469" t="str">
        <f>'2b.  Complex Form Data Entry'!C174</f>
        <v>-</v>
      </c>
      <c r="C129" s="469"/>
      <c r="D129" s="469"/>
      <c r="E129" s="469"/>
      <c r="F129" s="469"/>
      <c r="G129" s="469"/>
      <c r="H129" s="469"/>
      <c r="I129" s="469"/>
      <c r="J129" s="469"/>
      <c r="K129" s="469"/>
      <c r="L129" s="469"/>
      <c r="M129" s="469"/>
      <c r="N129" s="469"/>
      <c r="O129" s="469"/>
      <c r="P129" s="469"/>
      <c r="Q129" s="469"/>
      <c r="R129" s="469"/>
      <c r="S129" s="469"/>
    </row>
    <row r="130" spans="1:19" ht="13.5">
      <c r="A130" s="67"/>
      <c r="B130" s="469" t="str">
        <f>'2b.  Complex Form Data Entry'!C175</f>
        <v xml:space="preserve">- </v>
      </c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69"/>
      <c r="S130" s="469"/>
    </row>
    <row r="131" spans="1:19" ht="12.75" customHeight="1">
      <c r="A131" s="67"/>
      <c r="B131" s="469" t="str">
        <f>'2b.  Complex Form Data Entry'!C176</f>
        <v xml:space="preserve">- </v>
      </c>
      <c r="C131" s="469"/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  <c r="Q131" s="469"/>
      <c r="R131" s="469"/>
      <c r="S131" s="469"/>
    </row>
    <row r="132" spans="1:19" ht="15" customHeight="1">
      <c r="A132" s="67"/>
      <c r="B132" s="469" t="str">
        <f>'2b.  Complex Form Data Entry'!C177</f>
        <v xml:space="preserve">- </v>
      </c>
      <c r="C132" s="469"/>
      <c r="D132" s="469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</row>
    <row r="133" spans="1:20" ht="13.5">
      <c r="A133" s="67"/>
      <c r="B133" s="469" t="str">
        <f>'2b.  Complex Form Data Entry'!C178</f>
        <v xml:space="preserve">- </v>
      </c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  <c r="R133" s="469"/>
      <c r="S133" s="469"/>
      <c r="T133" s="5"/>
    </row>
    <row r="134" spans="1:19" ht="13.5">
      <c r="A134" s="67"/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</row>
    <row r="135" spans="1:19" ht="13.5">
      <c r="A135" t="str">
        <f>IF('2b.  Complex Form Data Entry'!C181=""," ","6.")</f>
        <v xml:space="preserve"> </v>
      </c>
      <c r="B135" s="469"/>
      <c r="C135" s="469"/>
      <c r="D135" s="469"/>
      <c r="E135" s="469"/>
      <c r="F135" s="469"/>
      <c r="G135" s="469"/>
      <c r="H135" s="469"/>
      <c r="I135" s="469"/>
      <c r="J135" s="469"/>
      <c r="K135" s="469"/>
      <c r="L135" s="469"/>
      <c r="M135" s="469"/>
      <c r="N135" s="469"/>
      <c r="O135" s="469"/>
      <c r="P135" s="469"/>
      <c r="Q135" s="469"/>
      <c r="R135" s="469"/>
      <c r="S135" s="469"/>
    </row>
    <row r="136" spans="1:19" ht="13.5">
      <c r="A136" s="69"/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469"/>
      <c r="M136" s="469"/>
      <c r="N136" s="469"/>
      <c r="O136" s="469"/>
      <c r="P136" s="469"/>
      <c r="Q136" s="469"/>
      <c r="R136" s="469"/>
      <c r="S136" s="469"/>
    </row>
    <row r="137" spans="1:19" ht="13.5">
      <c r="A137" s="69"/>
      <c r="B137" s="469"/>
      <c r="C137" s="469"/>
      <c r="D137" s="469"/>
      <c r="E137" s="469"/>
      <c r="F137" s="469"/>
      <c r="G137" s="469"/>
      <c r="H137" s="469"/>
      <c r="I137" s="469"/>
      <c r="J137" s="469"/>
      <c r="K137" s="469"/>
      <c r="L137" s="469"/>
      <c r="M137" s="469"/>
      <c r="N137" s="469"/>
      <c r="O137" s="469"/>
      <c r="P137" s="469"/>
      <c r="Q137" s="469"/>
      <c r="R137" s="469"/>
      <c r="S137" s="46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YQKKTEHHRR7V-1353-3663</_dlc_DocId>
    <_dlc_DocIdUrl xmlns="cfc4bdfe-72e7-4bcf-8777-527aa6965755">
      <Url>https://kc1-portal38.sharepoint.com/FMD/Legislation2015/_layouts/15/DocIdRedir.aspx?ID=YQKKTEHHRR7V-1353-3663</Url>
      <Description>YQKKTEHHRR7V-1353-3663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b516f40b-13c9-483a-b8d0-25e20c0c5f62"/>
    <ds:schemaRef ds:uri="http://schemas.microsoft.com/office/2006/documentManagement/types"/>
    <ds:schemaRef ds:uri="cfc4bdfe-72e7-4bcf-8777-527aa696575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f4bbbe-e948-4d8f-bbf3-024ce416f14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12A2C95-B960-411F-9E23-A6841A24A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2019-09-13T15:50:43Z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c72146d9-5b50-49be-b6b1-fb33ed66930e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