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3040" windowHeight="9405" activeTab="0"/>
  </bookViews>
  <sheets>
    <sheet name="3771" sheetId="1" r:id="rId1"/>
  </sheets>
  <externalReferences>
    <externalReference r:id="rId4"/>
  </externalReferences>
  <definedNames>
    <definedName name="_xlnm.Print_Area" localSheetId="0">'3771'!$B$1:$G$73</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Keesecker, Junko</author>
    <author>Rubardt, Aaron</author>
    <author>Andrews, Jillian</author>
  </authors>
  <commentList>
    <comment ref="D23" authorId="0">
      <text>
        <r>
          <rPr>
            <b/>
            <sz val="9"/>
            <color rgb="FF000000"/>
            <rFont val="Tahoma"/>
            <family val="2"/>
          </rPr>
          <t>Keesecker, Junko:</t>
        </r>
        <r>
          <rPr>
            <sz val="9"/>
            <color rgb="FF000000"/>
            <rFont val="Tahoma"/>
            <family val="2"/>
          </rPr>
          <t xml:space="preserve">
The following projects are "Closed" or "Cancelled" status:  PSB GENL FUND IT EQUIPMENT (1111669), DES RAL SW Apps Rplc (1124175), DES RM Risk Master Replacement (1126546), DPH KCIT HEALTH INFO TECH, HIT (1113974), Roster Mgmt Sys (RMS) (1116898), DES HRD Replacement of NeoGOV (1124179), DCHS Behavioral Health Integ (1126543), DOA Electronic Val Notice (1121494), DES FBOD CW Elec Pmt Imp Sppt (1124170), DES BRC Reporting Project (1126545)</t>
        </r>
      </text>
    </comment>
    <comment ref="C25" authorId="1">
      <text>
        <r>
          <rPr>
            <sz val="9"/>
            <color rgb="FF000000"/>
            <rFont val="Tahoma"/>
            <family val="2"/>
          </rPr>
          <t xml:space="preserve">This figure should match the available balance at year end as reported in the PA_103 report.
</t>
        </r>
      </text>
    </comment>
    <comment ref="D25" authorId="1">
      <text>
        <r>
          <rPr>
            <sz val="9"/>
            <color rgb="FF000000"/>
            <rFont val="Tahoma"/>
            <family val="2"/>
          </rPr>
          <t xml:space="preserve">This figure should match the Attachment A for 2019-2020.
</t>
        </r>
      </text>
    </comment>
    <comment ref="E33" authorId="0">
      <text>
        <r>
          <rPr>
            <b/>
            <sz val="9"/>
            <color rgb="FF000000"/>
            <rFont val="Tahoma"/>
            <family val="2"/>
          </rPr>
          <t>Keesecker, Junko:</t>
        </r>
        <r>
          <rPr>
            <sz val="9"/>
            <color rgb="FF000000"/>
            <rFont val="Tahoma"/>
            <family val="2"/>
          </rPr>
          <t xml:space="preserve">
Assumed that the excess bond proceeds are applied to reduce the future bond need</t>
        </r>
      </text>
    </comment>
    <comment ref="B37" authorId="2">
      <text>
        <r>
          <rPr>
            <sz val="9"/>
            <color rgb="FF000000"/>
            <rFont val="Tahoma"/>
            <family val="2"/>
          </rPr>
          <t xml:space="preserve"> Project/program order must be the same as in the appropriation section of the plan.
</t>
        </r>
      </text>
    </comment>
    <comment ref="F38" authorId="0">
      <text>
        <r>
          <rPr>
            <b/>
            <sz val="9"/>
            <color rgb="FF000000"/>
            <rFont val="Tahoma"/>
            <family val="2"/>
          </rPr>
          <t>Keesecker, Junko:</t>
        </r>
        <r>
          <rPr>
            <sz val="9"/>
            <color rgb="FF000000"/>
            <rFont val="Tahoma"/>
            <family val="2"/>
          </rPr>
          <t xml:space="preserve">
DJA Delta Viewer Rplmt - On hold
KCDC Unified CMS - Est completion 12/2021</t>
        </r>
      </text>
    </comment>
    <comment ref="F41" authorId="0">
      <text>
        <r>
          <rPr>
            <b/>
            <sz val="9"/>
            <color rgb="FF000000"/>
            <rFont val="Tahoma"/>
            <family val="2"/>
          </rPr>
          <t>Keesecker, Junko:</t>
        </r>
        <r>
          <rPr>
            <sz val="9"/>
            <color rgb="FF000000"/>
            <rFont val="Tahoma"/>
            <family val="2"/>
          </rPr>
          <t xml:space="preserve">
DES RALS Hire License Sys Col - On hold</t>
        </r>
      </text>
    </comment>
    <comment ref="F44" authorId="0">
      <text>
        <r>
          <rPr>
            <b/>
            <sz val="9"/>
            <color rgb="FF000000"/>
            <rFont val="Tahoma"/>
            <family val="2"/>
          </rPr>
          <t>Keesecker, Junko:</t>
        </r>
        <r>
          <rPr>
            <sz val="9"/>
            <color rgb="FF000000"/>
            <rFont val="Tahoma"/>
            <family val="2"/>
          </rPr>
          <t xml:space="preserve">
PTAS - Est project completion 4/2021</t>
        </r>
      </text>
    </comment>
  </commentList>
</comments>
</file>

<file path=xl/sharedStrings.xml><?xml version="1.0" encoding="utf-8"?>
<sst xmlns="http://schemas.openxmlformats.org/spreadsheetml/2006/main" count="81" uniqueCount="72">
  <si>
    <t>2019-2020 1st Omnibus Financial Plan</t>
  </si>
  <si>
    <r>
      <t xml:space="preserve">KCIT Enterprise Fund and Bond Sub Funds </t>
    </r>
    <r>
      <rPr>
        <b/>
        <sz val="13"/>
        <rFont val="Calibri"/>
        <family val="2"/>
      </rPr>
      <t xml:space="preserve">l </t>
    </r>
    <r>
      <rPr>
        <b/>
        <sz val="13"/>
        <rFont val="Calibri"/>
        <family val="2"/>
      </rPr>
      <t>000003771, 000003775, 000003776</t>
    </r>
  </si>
  <si>
    <t>HIDDEN COLUMNS - for PSB Variance Analysis</t>
  </si>
  <si>
    <t>Capital Improvement Program (CIP) Budget</t>
  </si>
  <si>
    <t>Budget to Actual Variance</t>
  </si>
  <si>
    <r>
      <t xml:space="preserve">2017-2018 Carryforward
</t>
    </r>
    <r>
      <rPr>
        <sz val="10"/>
        <rFont val="Calibri"/>
        <family val="2"/>
      </rPr>
      <t>(YE ITD Balance)</t>
    </r>
  </si>
  <si>
    <t>2019-2020 Adopted &amp; Supplementals</t>
  </si>
  <si>
    <r>
      <t xml:space="preserve">2019-2020 Total 
</t>
    </r>
    <r>
      <rPr>
        <sz val="10"/>
        <rFont val="Calibri"/>
        <family val="2"/>
      </rPr>
      <t>(Balance + Budget)</t>
    </r>
  </si>
  <si>
    <t>2021-2022 Projected</t>
  </si>
  <si>
    <t>2023-2024 
Projected</t>
  </si>
  <si>
    <t>2017-2018 Estimated Revenue and Expenditures as a % of 2017-2018 ITD Balance</t>
  </si>
  <si>
    <t>2019-2020 Estimated Revenue and Expenditures as a % of 2019-2020 Total Budget</t>
  </si>
  <si>
    <r>
      <t>Capital Budget Revenue Sources</t>
    </r>
    <r>
      <rPr>
        <sz val="11"/>
        <rFont val="Calibri"/>
        <family val="2"/>
      </rPr>
      <t>:</t>
    </r>
  </si>
  <si>
    <t>Revenue Backing from Fund Balance</t>
  </si>
  <si>
    <t>Project Revenue (Dept Transfers, Rates)</t>
  </si>
  <si>
    <t>Project Revenue (Dept Transfers) - 2019 2nd Omnibus</t>
  </si>
  <si>
    <t>Bond Proceeds - Prev Issuances</t>
  </si>
  <si>
    <t>Bond Proceeds - 2019-2020 Biennial</t>
  </si>
  <si>
    <t>Bond Proceeds - 2019 1st Omnibus</t>
  </si>
  <si>
    <t>Total Capital Revenue</t>
  </si>
  <si>
    <r>
      <t>Capital Appropriation</t>
    </r>
    <r>
      <rPr>
        <u val="single"/>
        <sz val="11"/>
        <rFont val="Calibri"/>
        <family val="2"/>
      </rPr>
      <t>:</t>
    </r>
  </si>
  <si>
    <t>Prior Appropriation - GF Project Group</t>
  </si>
  <si>
    <t>Prior Appropriation - DCHS Project Group</t>
  </si>
  <si>
    <t>Prior Appropriation - DPH Project Group</t>
  </si>
  <si>
    <t>Prior Appropriation - DES Project Group</t>
  </si>
  <si>
    <t>Prior Appropriation - "Other" Project Group</t>
  </si>
  <si>
    <t>2019-2020 Adopted</t>
  </si>
  <si>
    <t>2019 1st Omnibus</t>
  </si>
  <si>
    <t>2019 2nd Omnibus - Planned</t>
  </si>
  <si>
    <t>Total Capital Appropriation</t>
  </si>
  <si>
    <t>CIP Fund Financial Position</t>
  </si>
  <si>
    <t>Revenue and Spending Variance</t>
  </si>
  <si>
    <t>2017-2018 Actual</t>
  </si>
  <si>
    <t>2019-2020 Biennial to Date Actuals</t>
  </si>
  <si>
    <t>2019-2020 Estimated</t>
  </si>
  <si>
    <t>2023-2024 Projected</t>
  </si>
  <si>
    <t>2017-2018 Biennial to Date Actuals as a % of 2017-2018 Estimated</t>
  </si>
  <si>
    <t>2019-2020 Biennial to Date Actuals as a % of 2019-2020 Estimated</t>
  </si>
  <si>
    <t>Beginning Fund Balance</t>
  </si>
  <si>
    <t>Capital Funding Sources</t>
  </si>
  <si>
    <t>Bond Proceeds - 2017B LTGO BOND SUB FUND</t>
  </si>
  <si>
    <t>Bond Proceeds - 2019</t>
  </si>
  <si>
    <t>Misc Revenue</t>
  </si>
  <si>
    <t>Capital Expenditures</t>
  </si>
  <si>
    <t>2019-2020 Biennial Project Request</t>
  </si>
  <si>
    <t>Total Capital Expenditures</t>
  </si>
  <si>
    <t>Other Fund Transactions</t>
  </si>
  <si>
    <t>Transfer to KCIT Operating Fund</t>
  </si>
  <si>
    <t>Transfer In/out KCIT Enterprise CIP</t>
  </si>
  <si>
    <t>Transfer out to BRC</t>
  </si>
  <si>
    <t>Transfer out to DSF</t>
  </si>
  <si>
    <t>GAAP Transactions</t>
  </si>
  <si>
    <t>BOND SALE EXPENSE</t>
  </si>
  <si>
    <t>Ending Fund Balance</t>
  </si>
  <si>
    <t>Fund Balance designated to current projects*</t>
  </si>
  <si>
    <t>Reserves</t>
  </si>
  <si>
    <t>Refund - Completed/Cancelled Projects</t>
  </si>
  <si>
    <t>Future Projects - Excess Rates</t>
  </si>
  <si>
    <t>Future Projects - Excess Bond Proceeds</t>
  </si>
  <si>
    <t>Total Reserves</t>
  </si>
  <si>
    <t>Projected Shortfall</t>
  </si>
  <si>
    <t>Ending Undesignated Fund Balance</t>
  </si>
  <si>
    <t>Financial Plan Notes</t>
  </si>
  <si>
    <r>
      <rPr>
        <sz val="11"/>
        <rFont val="Calibri"/>
        <family val="2"/>
      </rPr>
      <t>All financial plans have the following assumptions, unless otherwise noted in below rows:</t>
    </r>
    <r>
      <rPr>
        <b/>
        <i/>
        <sz val="12"/>
        <rFont val="Calibri"/>
        <family val="2"/>
      </rPr>
      <t xml:space="preserve">
</t>
    </r>
  </si>
  <si>
    <r>
      <rPr>
        <sz val="11"/>
        <rFont val="Calibri"/>
        <family val="2"/>
      </rPr>
      <t xml:space="preserve">2017-2018 Carryover column reflects the actual the inception to date budget balances at the end of the 2017-2018 biennium from EBS report PA 103 and includes the latest approved disappropriations. </t>
    </r>
    <r>
      <rPr>
        <b/>
        <i/>
        <sz val="12"/>
        <rFont val="Calibri"/>
        <family val="2"/>
      </rPr>
      <t xml:space="preserve">
</t>
    </r>
    <r>
      <rPr>
        <sz val="11"/>
        <rFont val="Calibri"/>
        <family val="2"/>
      </rPr>
      <t>2019-2020 Adopted Budget is from Ordinance #18835.
2019-2020 Total Budget sums the carryover budget and the adopted budget, including planned supplementals.</t>
    </r>
    <r>
      <rPr>
        <b/>
        <i/>
        <sz val="12"/>
        <rFont val="Calibri"/>
        <family val="2"/>
      </rPr>
      <t xml:space="preserve">
</t>
    </r>
  </si>
  <si>
    <t>Funding Sources Notes:</t>
  </si>
  <si>
    <t>Bond Proceeds include transfers from the sub-funds (3775 and 3776)</t>
  </si>
  <si>
    <t xml:space="preserve">Bond Proceeds 2019 assumes that excess bond proceeds will be applied toward future bond financing needs </t>
  </si>
  <si>
    <t>Election Management</t>
  </si>
  <si>
    <t>RALS Apps Rplc</t>
  </si>
  <si>
    <t>Total (not including associated interests etc)</t>
  </si>
  <si>
    <r>
      <rPr>
        <u val="single"/>
        <sz val="11"/>
        <rFont val="Calibri"/>
        <family val="2"/>
      </rPr>
      <t>Plan updated</t>
    </r>
    <r>
      <rPr>
        <sz val="11"/>
        <rFont val="Calibri"/>
        <family val="2"/>
      </rPr>
      <t xml:space="preserve"> by Junko Keesecker of KCIT on 3/21/2019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</si>
</sst>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0_);_(&quot;$&quot;* \(#,##0.0\);_(&quot;$&quot;* &quot;-&quot;??_);_(@_)"/>
    <numFmt numFmtId="166" formatCode="_(&quot;$&quot;* #,##0.0_);_(&quot;$&quot;* \(#,##0.0\);_(&quot;$&quot;* &quot;-&quot;?_);_(@_)"/>
    <numFmt numFmtId="167" formatCode="_(&quot;$&quot;* #,##0_);_(&quot;$&quot;* \(#,##0\);_(&quot;$&quot;* &quot;-&quot;?_);_(@_)"/>
    <numFmt numFmtId="168" formatCode="_(&quot;$&quot;* #,##0_);_(&quot;$&quot;* \(#,##0\);_(&quot;$&quot;* &quot;-&quot;??_);_(@_)"/>
  </numFmts>
  <fonts count="20">
    <font>
      <sz val="11"/>
      <color theme="1"/>
      <name val="Calibri"/>
      <family val="2"/>
      <scheme val="minor"/>
    </font>
    <font>
      <sz val="10"/>
      <name val="Arial"/>
      <family val="2"/>
    </font>
    <font>
      <b/>
      <sz val="13"/>
      <name val="Calibri"/>
      <family val="2"/>
    </font>
    <font>
      <b/>
      <sz val="12"/>
      <name val="Calibri"/>
      <family val="2"/>
    </font>
    <font>
      <sz val="10"/>
      <name val="Calibri"/>
      <family val="2"/>
    </font>
    <font>
      <b/>
      <sz val="10"/>
      <name val="Calibri"/>
      <family val="2"/>
    </font>
    <font>
      <sz val="11"/>
      <color theme="1"/>
      <name val="Calibri"/>
      <family val="2"/>
    </font>
    <font>
      <b/>
      <sz val="11"/>
      <color rgb="FF000000"/>
      <name val="Calibri"/>
      <family val="2"/>
    </font>
    <font>
      <b/>
      <sz val="14"/>
      <color rgb="FF31869B"/>
      <name val="Calibri"/>
      <family val="2"/>
    </font>
    <font>
      <b/>
      <sz val="11"/>
      <name val="Calibri"/>
      <family val="2"/>
    </font>
    <font>
      <u val="single"/>
      <sz val="11"/>
      <name val="Calibri"/>
      <family val="2"/>
    </font>
    <font>
      <sz val="11"/>
      <name val="Calibri"/>
      <family val="2"/>
    </font>
    <font>
      <i/>
      <sz val="11"/>
      <name val="Calibri"/>
      <family val="2"/>
    </font>
    <font>
      <sz val="12"/>
      <name val="Times New Roman"/>
      <family val="1"/>
    </font>
    <font>
      <b/>
      <i/>
      <sz val="12"/>
      <name val="Calibri"/>
      <family val="2"/>
    </font>
    <font>
      <sz val="11"/>
      <color rgb="FFFFFFFF"/>
      <name val="Calibri"/>
      <family val="2"/>
    </font>
    <font>
      <sz val="10"/>
      <color rgb="FFFFFFFF"/>
      <name val="Calibri"/>
      <family val="2"/>
    </font>
    <font>
      <b/>
      <sz val="9"/>
      <color rgb="FF000000"/>
      <name val="Tahoma"/>
      <family val="2"/>
    </font>
    <font>
      <sz val="9"/>
      <color rgb="FF000000"/>
      <name val="Tahoma"/>
      <family val="2"/>
    </font>
    <font>
      <b/>
      <sz val="8"/>
      <name val="Calibri"/>
      <family val="2"/>
    </font>
  </fonts>
  <fills count="2">
    <fill>
      <patternFill/>
    </fill>
    <fill>
      <patternFill patternType="gray125"/>
    </fill>
  </fills>
  <borders count="32">
    <border>
      <left/>
      <right/>
      <top/>
      <bottom/>
      <diagonal/>
    </border>
    <border>
      <left style="thin">
        <color rgb="FF808080"/>
      </left>
      <right style="thin">
        <color rgb="FF808080"/>
      </right>
      <top style="thin">
        <color rgb="FF808080"/>
      </top>
      <bottom style="thin">
        <color rgb="FF808080"/>
      </bottom>
    </border>
    <border>
      <left style="thin">
        <color rgb="FF808080"/>
      </left>
      <right/>
      <top style="thin">
        <color rgb="FF808080"/>
      </top>
      <bottom style="thin">
        <color rgb="FF808080"/>
      </bottom>
    </border>
    <border>
      <left style="thin">
        <color rgb="FF808080"/>
      </left>
      <right style="medium"/>
      <top style="thin">
        <color rgb="FF808080"/>
      </top>
      <bottom style="thin">
        <color rgb="FF808080"/>
      </bottom>
    </border>
    <border>
      <left style="medium"/>
      <right style="medium"/>
      <top style="medium"/>
      <bottom style="thin">
        <color rgb="FF808080"/>
      </bottom>
    </border>
    <border>
      <left style="medium"/>
      <right style="thin">
        <color rgb="FF808080"/>
      </right>
      <top style="thin">
        <color rgb="FF808080"/>
      </top>
      <bottom style="thin">
        <color rgb="FF808080"/>
      </bottom>
    </border>
    <border>
      <left style="thin">
        <color rgb="FF808080"/>
      </left>
      <right/>
      <top/>
      <bottom/>
    </border>
    <border>
      <left style="thin">
        <color rgb="FF808080"/>
      </left>
      <right style="thin">
        <color rgb="FF808080"/>
      </right>
      <top/>
      <bottom/>
    </border>
    <border>
      <left style="thin">
        <color rgb="FF808080"/>
      </left>
      <right style="medium"/>
      <top/>
      <bottom/>
    </border>
    <border>
      <left style="medium"/>
      <right style="medium"/>
      <top/>
      <bottom/>
    </border>
    <border>
      <left style="medium"/>
      <right style="thin">
        <color rgb="FF808080"/>
      </right>
      <top/>
      <bottom/>
    </border>
    <border>
      <left style="thin">
        <color rgb="FF808080"/>
      </left>
      <right style="thin">
        <color rgb="FF808080"/>
      </right>
      <top/>
      <bottom style="thin">
        <color rgb="FF808080"/>
      </bottom>
    </border>
    <border>
      <left style="thin">
        <color rgb="FF808080"/>
      </left>
      <right style="medium"/>
      <top/>
      <bottom style="thin">
        <color rgb="FF808080"/>
      </bottom>
    </border>
    <border>
      <left style="medium"/>
      <right style="medium"/>
      <top/>
      <bottom style="thin">
        <color rgb="FF808080"/>
      </bottom>
    </border>
    <border>
      <left style="medium"/>
      <right style="thin">
        <color rgb="FF808080"/>
      </right>
      <top/>
      <bottom style="thin">
        <color rgb="FF808080"/>
      </bottom>
    </border>
    <border>
      <left style="thin"/>
      <right/>
      <top style="thin"/>
      <bottom style="thin"/>
    </border>
    <border>
      <left/>
      <right style="thin"/>
      <top style="thin"/>
      <bottom style="thin"/>
    </border>
    <border>
      <left style="thin">
        <color rgb="FF808080"/>
      </left>
      <right style="thin">
        <color rgb="FF808080"/>
      </right>
      <top style="thin">
        <color rgb="FF808080"/>
      </top>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medium"/>
      <right style="medium"/>
      <top style="thin">
        <color rgb="FF808080"/>
      </top>
      <bottom style="thin">
        <color rgb="FF808080"/>
      </bottom>
    </border>
    <border>
      <left style="medium"/>
      <right style="medium"/>
      <top style="thin">
        <color rgb="FF808080"/>
      </top>
      <bottom style="medium"/>
    </border>
    <border>
      <left style="thin">
        <color rgb="FF808080"/>
      </left>
      <right/>
      <top style="thin">
        <color rgb="FF808080"/>
      </top>
      <bottom/>
    </border>
    <border>
      <left/>
      <right style="thin">
        <color rgb="FF808080"/>
      </right>
      <top style="thin">
        <color rgb="FF808080"/>
      </top>
      <bottom/>
    </border>
    <border>
      <left/>
      <right style="thin">
        <color rgb="FF808080"/>
      </right>
      <top style="thin">
        <color rgb="FF808080"/>
      </top>
      <bottom style="thin">
        <color rgb="FF808080"/>
      </bottom>
    </border>
    <border>
      <left/>
      <right style="thin">
        <color rgb="FF808080"/>
      </right>
      <top/>
      <bottom/>
    </border>
    <border>
      <left style="medium">
        <color theme="1" tint="0.04998999834060669"/>
      </left>
      <right style="medium">
        <color theme="1" tint="0.04998999834060669"/>
      </right>
      <top style="medium">
        <color theme="1" tint="0.04998999834060669"/>
      </top>
      <bottom/>
    </border>
    <border>
      <left style="medium">
        <color theme="1" tint="0.04998999834060669"/>
      </left>
      <right style="medium">
        <color theme="1" tint="0.04998999834060669"/>
      </right>
      <top style="thin">
        <color rgb="FF808080"/>
      </top>
      <bottom style="thin">
        <color rgb="FF808080"/>
      </bottom>
    </border>
    <border>
      <left style="medium">
        <color theme="1" tint="0.04998999834060669"/>
      </left>
      <right style="medium">
        <color theme="1" tint="0.04998999834060669"/>
      </right>
      <top/>
      <bottom/>
    </border>
    <border>
      <left style="medium">
        <color theme="1" tint="0.04998999834060669"/>
      </left>
      <right style="medium">
        <color theme="1" tint="0.04998999834060669"/>
      </right>
      <top style="thin">
        <color rgb="FF808080"/>
      </top>
      <bottom style="medium">
        <color theme="1" tint="0.04998999834060669"/>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37" fontId="13" fillId="0" borderId="0">
      <alignment/>
      <protection/>
    </xf>
  </cellStyleXfs>
  <cellXfs count="130">
    <xf numFmtId="0" fontId="0" fillId="0" borderId="0" xfId="0"/>
    <xf numFmtId="0" fontId="4" fillId="0" borderId="0" xfId="20" applyFont="1" applyFill="1" applyBorder="1">
      <alignment/>
      <protection/>
    </xf>
    <xf numFmtId="0" fontId="5" fillId="0" borderId="0" xfId="20" applyFont="1" applyFill="1" applyBorder="1">
      <alignment/>
      <protection/>
    </xf>
    <xf numFmtId="0" fontId="8" fillId="0" borderId="0" xfId="20" applyFont="1" applyFill="1" applyBorder="1">
      <alignment/>
      <protection/>
    </xf>
    <xf numFmtId="0" fontId="5" fillId="0" borderId="0" xfId="20" applyFont="1" applyFill="1" applyBorder="1" applyAlignment="1">
      <alignment horizontal="center" wrapText="1"/>
      <protection/>
    </xf>
    <xf numFmtId="0" fontId="5" fillId="0" borderId="0" xfId="20" applyFont="1" applyFill="1" applyBorder="1" applyAlignment="1" quotePrefix="1">
      <alignment horizontal="center" wrapText="1"/>
      <protection/>
    </xf>
    <xf numFmtId="0" fontId="6" fillId="0" borderId="1" xfId="0" applyFont="1" applyFill="1" applyBorder="1" applyAlignment="1">
      <alignment horizontal="centerContinuous"/>
    </xf>
    <xf numFmtId="0" fontId="5" fillId="0" borderId="0" xfId="20" applyFont="1" applyFill="1" applyBorder="1" applyAlignment="1">
      <alignment horizontal="center"/>
      <protection/>
    </xf>
    <xf numFmtId="0" fontId="8" fillId="0" borderId="2" xfId="20" applyFont="1" applyFill="1" applyBorder="1" applyAlignment="1">
      <alignment horizontal="left"/>
      <protection/>
    </xf>
    <xf numFmtId="0" fontId="9" fillId="0" borderId="1" xfId="20" applyFont="1" applyFill="1" applyBorder="1" applyAlignment="1">
      <alignment horizontal="center" vertical="top" wrapText="1"/>
      <protection/>
    </xf>
    <xf numFmtId="0" fontId="9" fillId="0" borderId="3" xfId="20" applyFont="1" applyFill="1" applyBorder="1" applyAlignment="1">
      <alignment horizontal="center" vertical="top" wrapText="1"/>
      <protection/>
    </xf>
    <xf numFmtId="0" fontId="9" fillId="0" borderId="4" xfId="20" applyFont="1" applyFill="1" applyBorder="1" applyAlignment="1">
      <alignment horizontal="center" vertical="top" wrapText="1"/>
      <protection/>
    </xf>
    <xf numFmtId="0" fontId="9" fillId="0" borderId="5" xfId="20" applyFont="1" applyFill="1" applyBorder="1" applyAlignment="1">
      <alignment horizontal="center" vertical="top" wrapText="1"/>
      <protection/>
    </xf>
    <xf numFmtId="0" fontId="7" fillId="0" borderId="1" xfId="0" applyFont="1" applyFill="1" applyBorder="1" applyAlignment="1">
      <alignment horizontal="center" vertical="top" wrapText="1"/>
    </xf>
    <xf numFmtId="0" fontId="5" fillId="0" borderId="0" xfId="20" applyFont="1" applyFill="1" applyBorder="1" applyAlignment="1">
      <alignment vertical="top"/>
      <protection/>
    </xf>
    <xf numFmtId="0" fontId="5" fillId="0" borderId="0" xfId="20" applyFont="1" applyFill="1" applyBorder="1" applyAlignment="1">
      <alignment horizontal="center" vertical="top"/>
      <protection/>
    </xf>
    <xf numFmtId="0" fontId="10" fillId="0" borderId="6" xfId="20" applyFont="1" applyFill="1" applyBorder="1">
      <alignment/>
      <protection/>
    </xf>
    <xf numFmtId="41" fontId="9" fillId="0" borderId="7" xfId="18" applyNumberFormat="1" applyFont="1" applyFill="1" applyBorder="1" applyAlignment="1">
      <alignment horizontal="right" wrapText="1"/>
    </xf>
    <xf numFmtId="41" fontId="9" fillId="0" borderId="8" xfId="18" applyNumberFormat="1" applyFont="1" applyFill="1" applyBorder="1" applyAlignment="1">
      <alignment horizontal="right" wrapText="1"/>
    </xf>
    <xf numFmtId="41" fontId="9" fillId="0" borderId="9" xfId="18" applyNumberFormat="1" applyFont="1" applyFill="1" applyBorder="1" applyAlignment="1">
      <alignment horizontal="right" wrapText="1"/>
    </xf>
    <xf numFmtId="41" fontId="9" fillId="0" borderId="10" xfId="18" applyNumberFormat="1" applyFont="1" applyFill="1" applyBorder="1" applyAlignment="1">
      <alignment horizontal="right" wrapText="1"/>
    </xf>
    <xf numFmtId="0" fontId="6" fillId="0" borderId="7" xfId="0" applyFont="1" applyFill="1" applyBorder="1"/>
    <xf numFmtId="0" fontId="11" fillId="0" borderId="6" xfId="20" applyFont="1" applyFill="1" applyBorder="1" applyAlignment="1">
      <alignment horizontal="left" indent="1"/>
      <protection/>
    </xf>
    <xf numFmtId="164" fontId="11" fillId="0" borderId="7" xfId="18" applyNumberFormat="1" applyFont="1" applyFill="1" applyBorder="1"/>
    <xf numFmtId="41" fontId="11" fillId="0" borderId="8" xfId="20" applyNumberFormat="1" applyFont="1" applyFill="1" applyBorder="1">
      <alignment/>
      <protection/>
    </xf>
    <xf numFmtId="41" fontId="11" fillId="0" borderId="9" xfId="20" applyNumberFormat="1" applyFont="1" applyFill="1" applyBorder="1">
      <alignment/>
      <protection/>
    </xf>
    <xf numFmtId="41" fontId="11" fillId="0" borderId="10" xfId="20" applyNumberFormat="1" applyFont="1" applyFill="1" applyBorder="1">
      <alignment/>
      <protection/>
    </xf>
    <xf numFmtId="41" fontId="11" fillId="0" borderId="7" xfId="20" applyNumberFormat="1" applyFont="1" applyFill="1" applyBorder="1">
      <alignment/>
      <protection/>
    </xf>
    <xf numFmtId="0" fontId="11" fillId="0" borderId="6" xfId="0" applyFont="1" applyFill="1" applyBorder="1" applyAlignment="1">
      <alignment horizontal="left" indent="1"/>
    </xf>
    <xf numFmtId="41" fontId="11" fillId="0" borderId="7" xfId="21" applyNumberFormat="1" applyFont="1" applyFill="1" applyBorder="1"/>
    <xf numFmtId="165" fontId="5" fillId="0" borderId="0" xfId="21" applyNumberFormat="1" applyFont="1" applyFill="1" applyBorder="1"/>
    <xf numFmtId="0" fontId="6" fillId="0" borderId="1" xfId="0" applyFont="1" applyFill="1" applyBorder="1"/>
    <xf numFmtId="166" fontId="4" fillId="0" borderId="0" xfId="20" applyNumberFormat="1" applyFont="1" applyFill="1" applyBorder="1">
      <alignment/>
      <protection/>
    </xf>
    <xf numFmtId="165" fontId="4" fillId="0" borderId="0" xfId="21" applyNumberFormat="1" applyFont="1" applyFill="1" applyBorder="1"/>
    <xf numFmtId="0" fontId="12" fillId="0" borderId="6" xfId="20" applyFont="1" applyFill="1" applyBorder="1" applyAlignment="1">
      <alignment horizontal="left" indent="1"/>
      <protection/>
    </xf>
    <xf numFmtId="41" fontId="12" fillId="0" borderId="11" xfId="21" applyNumberFormat="1" applyFont="1" applyFill="1" applyBorder="1"/>
    <xf numFmtId="41" fontId="12" fillId="0" borderId="12" xfId="21" applyNumberFormat="1" applyFont="1" applyFill="1" applyBorder="1"/>
    <xf numFmtId="41" fontId="12" fillId="0" borderId="13" xfId="20" applyNumberFormat="1" applyFont="1" applyFill="1" applyBorder="1">
      <alignment/>
      <protection/>
    </xf>
    <xf numFmtId="41" fontId="12" fillId="0" borderId="14" xfId="20" applyNumberFormat="1" applyFont="1" applyFill="1" applyBorder="1">
      <alignment/>
      <protection/>
    </xf>
    <xf numFmtId="166" fontId="5" fillId="0" borderId="0" xfId="20" applyNumberFormat="1" applyFont="1" applyFill="1" applyBorder="1">
      <alignment/>
      <protection/>
    </xf>
    <xf numFmtId="0" fontId="5" fillId="0" borderId="0" xfId="20" applyFont="1" applyFill="1" applyBorder="1" applyAlignment="1">
      <alignment horizontal="left"/>
      <protection/>
    </xf>
    <xf numFmtId="167" fontId="5" fillId="0" borderId="0" xfId="20" applyNumberFormat="1" applyFont="1" applyFill="1" applyBorder="1">
      <alignment/>
      <protection/>
    </xf>
    <xf numFmtId="0" fontId="6" fillId="0" borderId="0" xfId="0" applyFont="1" applyFill="1" applyBorder="1"/>
    <xf numFmtId="0" fontId="6" fillId="0" borderId="15" xfId="0" applyFont="1" applyFill="1" applyBorder="1" applyAlignment="1">
      <alignment horizontal="centerContinuous"/>
    </xf>
    <xf numFmtId="0" fontId="6" fillId="0" borderId="16" xfId="0" applyFont="1" applyFill="1" applyBorder="1" applyAlignment="1">
      <alignment horizontal="centerContinuous"/>
    </xf>
    <xf numFmtId="0" fontId="5" fillId="0" borderId="17" xfId="20" applyFont="1" applyFill="1" applyBorder="1" applyAlignment="1">
      <alignment vertical="top"/>
      <protection/>
    </xf>
    <xf numFmtId="0" fontId="9" fillId="0" borderId="17" xfId="20" applyFont="1" applyFill="1" applyBorder="1" applyAlignment="1">
      <alignment horizontal="center" vertical="top" wrapText="1"/>
      <protection/>
    </xf>
    <xf numFmtId="0" fontId="7" fillId="0" borderId="18" xfId="0" applyFont="1" applyFill="1" applyBorder="1" applyAlignment="1">
      <alignment horizontal="center" vertical="top" wrapText="1"/>
    </xf>
    <xf numFmtId="0" fontId="9" fillId="0" borderId="1" xfId="20" applyFont="1" applyFill="1" applyBorder="1">
      <alignment/>
      <protection/>
    </xf>
    <xf numFmtId="41" fontId="9" fillId="0" borderId="1" xfId="18" applyNumberFormat="1" applyFont="1" applyFill="1" applyBorder="1" applyAlignment="1">
      <alignment horizontal="right" wrapText="1"/>
    </xf>
    <xf numFmtId="164" fontId="9" fillId="0" borderId="1" xfId="18" applyNumberFormat="1" applyFont="1" applyFill="1" applyBorder="1" applyAlignment="1">
      <alignment horizontal="right" wrapText="1"/>
    </xf>
    <xf numFmtId="0" fontId="6" fillId="0" borderId="18" xfId="0" applyNumberFormat="1" applyFont="1" applyFill="1" applyBorder="1"/>
    <xf numFmtId="0" fontId="6" fillId="0" borderId="18" xfId="0" applyFont="1" applyFill="1" applyBorder="1"/>
    <xf numFmtId="0" fontId="10" fillId="0" borderId="7" xfId="20" applyFont="1" applyFill="1" applyBorder="1">
      <alignment/>
      <protection/>
    </xf>
    <xf numFmtId="41" fontId="11" fillId="0" borderId="7" xfId="18" applyNumberFormat="1" applyFont="1" applyFill="1" applyBorder="1"/>
    <xf numFmtId="41" fontId="10" fillId="0" borderId="7" xfId="18" applyNumberFormat="1" applyFont="1" applyFill="1" applyBorder="1"/>
    <xf numFmtId="0" fontId="6" fillId="0" borderId="19" xfId="0" applyFont="1" applyFill="1" applyBorder="1"/>
    <xf numFmtId="41" fontId="4" fillId="0" borderId="0" xfId="20" applyNumberFormat="1" applyFont="1" applyFill="1" applyBorder="1">
      <alignment/>
      <protection/>
    </xf>
    <xf numFmtId="168" fontId="4" fillId="0" borderId="0" xfId="16" applyNumberFormat="1" applyFont="1" applyFill="1" applyBorder="1"/>
    <xf numFmtId="0" fontId="11" fillId="0" borderId="7" xfId="20" applyFont="1" applyFill="1" applyBorder="1" applyAlignment="1">
      <alignment horizontal="left" indent="1"/>
      <protection/>
    </xf>
    <xf numFmtId="0" fontId="6" fillId="0" borderId="20" xfId="0" applyFont="1" applyFill="1" applyBorder="1"/>
    <xf numFmtId="42" fontId="4" fillId="0" borderId="0" xfId="20" applyNumberFormat="1" applyFont="1" applyFill="1" applyBorder="1">
      <alignment/>
      <protection/>
    </xf>
    <xf numFmtId="0" fontId="6" fillId="0" borderId="21" xfId="0" applyFont="1" applyFill="1" applyBorder="1"/>
    <xf numFmtId="166" fontId="4" fillId="0" borderId="0" xfId="20" applyNumberFormat="1" applyFont="1" applyFill="1" applyBorder="1" quotePrefix="1">
      <alignment/>
      <protection/>
    </xf>
    <xf numFmtId="44" fontId="5" fillId="0" borderId="0" xfId="20" applyNumberFormat="1" applyFont="1" applyFill="1" applyBorder="1">
      <alignment/>
      <protection/>
    </xf>
    <xf numFmtId="41" fontId="9" fillId="0" borderId="7" xfId="21" applyNumberFormat="1" applyFont="1" applyFill="1" applyBorder="1"/>
    <xf numFmtId="0" fontId="11" fillId="0" borderId="7" xfId="20" applyFont="1" applyFill="1" applyBorder="1" applyAlignment="1">
      <alignment horizontal="left" indent="2"/>
      <protection/>
    </xf>
    <xf numFmtId="41" fontId="9" fillId="0" borderId="7" xfId="20" applyNumberFormat="1" applyFont="1" applyFill="1" applyBorder="1">
      <alignment/>
      <protection/>
    </xf>
    <xf numFmtId="165" fontId="5" fillId="0" borderId="0" xfId="21" applyNumberFormat="1" applyFont="1" applyFill="1" applyBorder="1" applyAlignment="1">
      <alignment horizontal="center"/>
    </xf>
    <xf numFmtId="42" fontId="9" fillId="0" borderId="1" xfId="21" applyNumberFormat="1" applyFont="1" applyFill="1" applyBorder="1"/>
    <xf numFmtId="0" fontId="6" fillId="0" borderId="16" xfId="0" applyFont="1" applyFill="1" applyBorder="1"/>
    <xf numFmtId="0" fontId="11" fillId="0" borderId="7" xfId="20" applyFont="1" applyFill="1" applyBorder="1">
      <alignment/>
      <protection/>
    </xf>
    <xf numFmtId="41" fontId="11" fillId="0" borderId="7" xfId="22" applyNumberFormat="1" applyFont="1" applyFill="1" applyBorder="1" applyAlignment="1">
      <alignment vertical="center"/>
    </xf>
    <xf numFmtId="0" fontId="9" fillId="0" borderId="7" xfId="20" applyFont="1" applyFill="1" applyBorder="1">
      <alignment/>
      <protection/>
    </xf>
    <xf numFmtId="168" fontId="5" fillId="0" borderId="0" xfId="21" applyNumberFormat="1" applyFont="1" applyFill="1" applyBorder="1"/>
    <xf numFmtId="37" fontId="3" fillId="0" borderId="0" xfId="23" applyFont="1" applyFill="1" applyBorder="1" applyAlignment="1">
      <alignment horizontal="left"/>
      <protection/>
    </xf>
    <xf numFmtId="0" fontId="10"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indent="2"/>
    </xf>
    <xf numFmtId="0" fontId="11" fillId="0" borderId="0" xfId="0" applyFont="1" applyFill="1" applyBorder="1" applyAlignment="1">
      <alignment horizontal="left" vertical="top"/>
    </xf>
    <xf numFmtId="0" fontId="15" fillId="0" borderId="0" xfId="0" applyFont="1" applyFill="1" applyBorder="1" applyAlignment="1">
      <alignment horizontal="right" vertical="top"/>
    </xf>
    <xf numFmtId="0" fontId="16" fillId="0" borderId="0" xfId="20" applyFont="1" applyFill="1" applyBorder="1">
      <alignment/>
      <protection/>
    </xf>
    <xf numFmtId="168" fontId="16" fillId="0" borderId="0" xfId="16" applyNumberFormat="1" applyFont="1" applyFill="1" applyBorder="1"/>
    <xf numFmtId="0" fontId="15" fillId="0" borderId="0" xfId="20" applyFont="1" applyFill="1" applyBorder="1">
      <alignment/>
      <protection/>
    </xf>
    <xf numFmtId="0" fontId="3" fillId="0" borderId="0" xfId="0" applyFont="1" applyFill="1" applyBorder="1" applyAlignment="1">
      <alignment horizontal="center"/>
    </xf>
    <xf numFmtId="0" fontId="6" fillId="0" borderId="0" xfId="0" applyFont="1" applyFill="1" applyBorder="1" applyAlignment="1">
      <alignment vertical="top"/>
    </xf>
    <xf numFmtId="0" fontId="6" fillId="0" borderId="0" xfId="0" applyFont="1" applyFill="1" applyBorder="1" applyProtection="1">
      <protection locked="0"/>
    </xf>
    <xf numFmtId="0" fontId="9" fillId="0" borderId="2" xfId="20" applyFont="1" applyFill="1" applyBorder="1">
      <alignment/>
      <protection/>
    </xf>
    <xf numFmtId="42" fontId="9" fillId="0" borderId="3" xfId="21" applyNumberFormat="1" applyFont="1" applyFill="1" applyBorder="1"/>
    <xf numFmtId="42" fontId="9" fillId="0" borderId="22" xfId="21" applyNumberFormat="1" applyFont="1" applyFill="1" applyBorder="1"/>
    <xf numFmtId="42" fontId="9" fillId="0" borderId="5" xfId="21" applyNumberFormat="1" applyFont="1" applyFill="1" applyBorder="1"/>
    <xf numFmtId="0" fontId="9" fillId="0" borderId="2" xfId="20" applyFont="1" applyFill="1" applyBorder="1" applyAlignment="1">
      <alignment horizontal="left"/>
      <protection/>
    </xf>
    <xf numFmtId="42" fontId="9" fillId="0" borderId="1" xfId="20" applyNumberFormat="1" applyFont="1" applyFill="1" applyBorder="1">
      <alignment/>
      <protection/>
    </xf>
    <xf numFmtId="42" fontId="9" fillId="0" borderId="3" xfId="20" applyNumberFormat="1" applyFont="1" applyFill="1" applyBorder="1">
      <alignment/>
      <protection/>
    </xf>
    <xf numFmtId="42" fontId="9" fillId="0" borderId="23" xfId="20" applyNumberFormat="1" applyFont="1" applyFill="1" applyBorder="1">
      <alignment/>
      <protection/>
    </xf>
    <xf numFmtId="42" fontId="9" fillId="0" borderId="5" xfId="20" applyNumberFormat="1" applyFont="1" applyFill="1" applyBorder="1">
      <alignment/>
      <protection/>
    </xf>
    <xf numFmtId="0" fontId="9" fillId="0" borderId="24" xfId="20" applyFont="1" applyFill="1" applyBorder="1" applyAlignment="1">
      <alignment horizontal="center" vertical="top" wrapText="1"/>
      <protection/>
    </xf>
    <xf numFmtId="41" fontId="9" fillId="0" borderId="2" xfId="18" applyNumberFormat="1" applyFont="1" applyFill="1" applyBorder="1" applyAlignment="1">
      <alignment horizontal="right" wrapText="1"/>
    </xf>
    <xf numFmtId="41" fontId="10" fillId="0" borderId="6" xfId="18" applyNumberFormat="1" applyFont="1" applyFill="1" applyBorder="1"/>
    <xf numFmtId="41" fontId="11" fillId="0" borderId="6" xfId="18" applyNumberFormat="1" applyFont="1" applyFill="1" applyBorder="1"/>
    <xf numFmtId="42" fontId="9" fillId="0" borderId="2" xfId="21" applyNumberFormat="1" applyFont="1" applyFill="1" applyBorder="1"/>
    <xf numFmtId="41" fontId="11" fillId="0" borderId="6" xfId="20" applyNumberFormat="1" applyFont="1" applyFill="1" applyBorder="1">
      <alignment/>
      <protection/>
    </xf>
    <xf numFmtId="41" fontId="9" fillId="0" borderId="6" xfId="21" applyNumberFormat="1" applyFont="1" applyFill="1" applyBorder="1"/>
    <xf numFmtId="41" fontId="9" fillId="0" borderId="6" xfId="20" applyNumberFormat="1" applyFont="1" applyFill="1" applyBorder="1">
      <alignment/>
      <protection/>
    </xf>
    <xf numFmtId="41" fontId="11" fillId="0" borderId="6" xfId="22" applyNumberFormat="1" applyFont="1" applyFill="1" applyBorder="1" applyAlignment="1">
      <alignment vertical="center"/>
    </xf>
    <xf numFmtId="0" fontId="9" fillId="0" borderId="25" xfId="20" applyFont="1" applyFill="1" applyBorder="1" applyAlignment="1">
      <alignment horizontal="center" vertical="top" wrapText="1"/>
      <protection/>
    </xf>
    <xf numFmtId="41" fontId="9" fillId="0" borderId="26" xfId="18" applyNumberFormat="1" applyFont="1" applyFill="1" applyBorder="1" applyAlignment="1">
      <alignment horizontal="right" wrapText="1"/>
    </xf>
    <xf numFmtId="41" fontId="10" fillId="0" borderId="27" xfId="18" applyNumberFormat="1" applyFont="1" applyFill="1" applyBorder="1"/>
    <xf numFmtId="41" fontId="11" fillId="0" borderId="27" xfId="18" applyNumberFormat="1" applyFont="1" applyFill="1" applyBorder="1"/>
    <xf numFmtId="42" fontId="9" fillId="0" borderId="26" xfId="21" applyNumberFormat="1" applyFont="1" applyFill="1" applyBorder="1"/>
    <xf numFmtId="41" fontId="11" fillId="0" borderId="27" xfId="20" applyNumberFormat="1" applyFont="1" applyFill="1" applyBorder="1">
      <alignment/>
      <protection/>
    </xf>
    <xf numFmtId="41" fontId="9" fillId="0" borderId="27" xfId="21" applyNumberFormat="1" applyFont="1" applyFill="1" applyBorder="1"/>
    <xf numFmtId="41" fontId="9" fillId="0" borderId="27" xfId="20" applyNumberFormat="1" applyFont="1" applyFill="1" applyBorder="1">
      <alignment/>
      <protection/>
    </xf>
    <xf numFmtId="41" fontId="11" fillId="0" borderId="27" xfId="22" applyNumberFormat="1" applyFont="1" applyFill="1" applyBorder="1" applyAlignment="1">
      <alignment vertical="center"/>
    </xf>
    <xf numFmtId="0" fontId="9" fillId="0" borderId="28" xfId="20" applyFont="1" applyFill="1" applyBorder="1" applyAlignment="1">
      <alignment horizontal="center" vertical="top" wrapText="1"/>
      <protection/>
    </xf>
    <xf numFmtId="41" fontId="9" fillId="0" borderId="29" xfId="18" applyNumberFormat="1" applyFont="1" applyFill="1" applyBorder="1" applyAlignment="1">
      <alignment horizontal="right" wrapText="1"/>
    </xf>
    <xf numFmtId="41" fontId="10" fillId="0" borderId="30" xfId="18" applyNumberFormat="1" applyFont="1" applyFill="1" applyBorder="1"/>
    <xf numFmtId="41" fontId="11" fillId="0" borderId="30" xfId="18" applyNumberFormat="1" applyFont="1" applyFill="1" applyBorder="1"/>
    <xf numFmtId="42" fontId="9" fillId="0" borderId="29" xfId="21" applyNumberFormat="1" applyFont="1" applyFill="1" applyBorder="1"/>
    <xf numFmtId="41" fontId="11" fillId="0" borderId="30" xfId="20" applyNumberFormat="1" applyFont="1" applyFill="1" applyBorder="1">
      <alignment/>
      <protection/>
    </xf>
    <xf numFmtId="41" fontId="11" fillId="0" borderId="30" xfId="20" applyNumberFormat="1" applyFont="1" applyFill="1" applyBorder="1" applyAlignment="1">
      <alignment vertical="top"/>
      <protection/>
    </xf>
    <xf numFmtId="41" fontId="9" fillId="0" borderId="30" xfId="21" applyNumberFormat="1" applyFont="1" applyFill="1" applyBorder="1"/>
    <xf numFmtId="41" fontId="9" fillId="0" borderId="30" xfId="20" applyNumberFormat="1" applyFont="1" applyFill="1" applyBorder="1">
      <alignment/>
      <protection/>
    </xf>
    <xf numFmtId="41" fontId="11" fillId="0" borderId="30" xfId="22" applyNumberFormat="1" applyFont="1" applyFill="1" applyBorder="1" applyAlignment="1">
      <alignment vertical="center"/>
    </xf>
    <xf numFmtId="42" fontId="9" fillId="0" borderId="31" xfId="21" applyNumberFormat="1" applyFont="1" applyFill="1" applyBorder="1"/>
    <xf numFmtId="0" fontId="2" fillId="0" borderId="0" xfId="0" applyFont="1" applyFill="1" applyBorder="1" applyAlignment="1">
      <alignment horizontal="center"/>
    </xf>
    <xf numFmtId="0" fontId="7" fillId="0" borderId="1" xfId="0" applyFont="1" applyFill="1" applyBorder="1" applyAlignment="1" applyProtection="1">
      <alignment horizontal="center"/>
      <protection locked="0"/>
    </xf>
    <xf numFmtId="37" fontId="14" fillId="0" borderId="0" xfId="23" applyFont="1" applyFill="1" applyBorder="1" applyAlignment="1">
      <alignment horizontal="left" vertical="top" wrapText="1"/>
      <protection/>
    </xf>
    <xf numFmtId="37" fontId="14" fillId="0" borderId="0" xfId="23" applyFont="1" applyFill="1" applyBorder="1" applyAlignment="1">
      <alignment horizontal="left" vertical="top" wrapText="1" indent="2"/>
      <protection/>
    </xf>
    <xf numFmtId="0" fontId="11" fillId="0" borderId="0" xfId="0" applyFont="1" applyFill="1" applyBorder="1" applyAlignment="1" applyProtection="1">
      <alignment horizontal="left" vertical="top" wrapText="1"/>
      <protection locked="0"/>
    </xf>
  </cellXfs>
  <cellStyles count="10">
    <cellStyle name="Normal" xfId="0"/>
    <cellStyle name="Percent" xfId="15"/>
    <cellStyle name="Currency" xfId="16"/>
    <cellStyle name="Currency [0]" xfId="17"/>
    <cellStyle name="Comma" xfId="18"/>
    <cellStyle name="Comma [0]" xfId="19"/>
    <cellStyle name="Normal 11" xfId="20"/>
    <cellStyle name="Currency 2" xfId="21"/>
    <cellStyle name="Comma 2" xfId="22"/>
    <cellStyle name="Normal_AIRPLAN.XLS"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epartments\KCIT\01.%20Budget\2019-20\2019-20%20Omnibus%201st\Fin%20Plans%20and%20Fiscal%20Notes\Fund%203771%20Capital%20Fin%20Plan_2019-2020%201st%20Omnibu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771"/>
      <sheetName val="CAP Q119"/>
      <sheetName val="Pivot"/>
      <sheetName val="3771 (2)"/>
      <sheetName val="CAP 20192020 Adopted"/>
      <sheetName val="Residual Bal"/>
      <sheetName val="GL10 Pivot"/>
      <sheetName val="Sheet4"/>
      <sheetName val="GL10"/>
      <sheetName val="Residual Bal from Completed"/>
      <sheetName val="Bond"/>
      <sheetName val="CAPSummaryByFund"/>
      <sheetName val="2017 2018 Budget Log"/>
      <sheetName val="Actual Rev"/>
      <sheetName val="Actual"/>
      <sheetName val="Checklist"/>
    </sheetNames>
    <sheetDataSet>
      <sheetData sheetId="0"/>
      <sheetData sheetId="1">
        <row r="20">
          <cell r="F20">
            <v>4000000</v>
          </cell>
        </row>
        <row r="57">
          <cell r="F57">
            <v>5400000</v>
          </cell>
        </row>
        <row r="58">
          <cell r="F58">
            <v>-2030146</v>
          </cell>
        </row>
        <row r="59">
          <cell r="F59">
            <v>6401212</v>
          </cell>
        </row>
      </sheetData>
      <sheetData sheetId="2">
        <row r="76">
          <cell r="D76">
            <v>28014522.780000005</v>
          </cell>
        </row>
        <row r="77">
          <cell r="D77">
            <v>4578640.409999999</v>
          </cell>
        </row>
        <row r="78">
          <cell r="D78">
            <v>5937448.54</v>
          </cell>
        </row>
        <row r="79">
          <cell r="D79">
            <v>6010197.0600000005</v>
          </cell>
        </row>
        <row r="80">
          <cell r="D80">
            <v>2147521.2500000102</v>
          </cell>
        </row>
      </sheetData>
      <sheetData sheetId="3"/>
      <sheetData sheetId="4">
        <row r="22">
          <cell r="F22">
            <v>18000000</v>
          </cell>
        </row>
        <row r="37">
          <cell r="F37">
            <v>809811</v>
          </cell>
        </row>
        <row r="40">
          <cell r="F40">
            <v>3933612</v>
          </cell>
        </row>
        <row r="47">
          <cell r="F47">
            <v>-4219813</v>
          </cell>
        </row>
      </sheetData>
      <sheetData sheetId="5">
        <row r="12">
          <cell r="B12">
            <v>652636.3499999997</v>
          </cell>
        </row>
      </sheetData>
      <sheetData sheetId="6">
        <row r="6">
          <cell r="A6" t="str">
            <v>Sum of Actuals</v>
          </cell>
        </row>
        <row r="84">
          <cell r="A84" t="str">
            <v>Sum of Actuals</v>
          </cell>
        </row>
      </sheetData>
      <sheetData sheetId="7"/>
      <sheetData sheetId="8"/>
      <sheetData sheetId="9"/>
      <sheetData sheetId="10">
        <row r="34">
          <cell r="F34">
            <v>9736560.38</v>
          </cell>
          <cell r="H34">
            <v>8827199.56</v>
          </cell>
        </row>
      </sheetData>
      <sheetData sheetId="11">
        <row r="18">
          <cell r="L18">
            <v>22743423</v>
          </cell>
        </row>
      </sheetData>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B79"/>
  <sheetViews>
    <sheetView showGridLines="0" tabSelected="1" zoomScaleSheetLayoutView="90" workbookViewId="0" topLeftCell="A1">
      <selection activeCell="F67" sqref="F67"/>
    </sheetView>
  </sheetViews>
  <sheetFormatPr defaultColWidth="9.140625" defaultRowHeight="15" outlineLevelRow="1" outlineLevelCol="1"/>
  <cols>
    <col min="1" max="1" width="0.85546875" style="1" customWidth="1"/>
    <col min="2" max="2" width="45.28125" style="1" customWidth="1"/>
    <col min="3" max="5" width="14.28125" style="1" customWidth="1"/>
    <col min="6" max="7" width="13.7109375" style="1" customWidth="1"/>
    <col min="8" max="8" width="2.00390625" style="42" hidden="1" customWidth="1"/>
    <col min="9" max="9" width="20.140625" style="42" hidden="1" customWidth="1" outlineLevel="1"/>
    <col min="10" max="10" width="21.00390625" style="42" hidden="1" customWidth="1" outlineLevel="1"/>
    <col min="11" max="11" width="13.28125" style="1" hidden="1" customWidth="1" collapsed="1"/>
    <col min="12" max="12" width="20.8515625" style="1" hidden="1" customWidth="1"/>
    <col min="13" max="13" width="19.00390625" style="1" customWidth="1"/>
    <col min="14" max="14" width="9.7109375" style="1" bestFit="1" customWidth="1"/>
    <col min="15" max="15" width="11.421875" style="1" bestFit="1" customWidth="1"/>
    <col min="16" max="27" width="9.28125" style="1" bestFit="1" customWidth="1"/>
    <col min="28" max="28" width="11.421875" style="1" bestFit="1" customWidth="1"/>
    <col min="29" max="255" width="8.8515625" style="1" customWidth="1"/>
    <col min="256" max="256" width="2.140625" style="1" customWidth="1"/>
    <col min="257" max="257" width="83.140625" style="1" bestFit="1" customWidth="1"/>
    <col min="258" max="261" width="9.7109375" style="1" bestFit="1" customWidth="1"/>
    <col min="262" max="262" width="9.421875" style="1" bestFit="1" customWidth="1"/>
    <col min="263" max="264" width="9.7109375" style="1" bestFit="1" customWidth="1"/>
    <col min="265" max="269" width="9.421875" style="1" bestFit="1" customWidth="1"/>
    <col min="270" max="270" width="9.7109375" style="1" bestFit="1" customWidth="1"/>
    <col min="271" max="271" width="11.421875" style="1" bestFit="1" customWidth="1"/>
    <col min="272" max="283" width="9.28125" style="1" bestFit="1" customWidth="1"/>
    <col min="284" max="284" width="11.421875" style="1" bestFit="1" customWidth="1"/>
    <col min="285" max="511" width="8.8515625" style="1" customWidth="1"/>
    <col min="512" max="512" width="2.140625" style="1" customWidth="1"/>
    <col min="513" max="513" width="83.140625" style="1" bestFit="1" customWidth="1"/>
    <col min="514" max="517" width="9.7109375" style="1" bestFit="1" customWidth="1"/>
    <col min="518" max="518" width="9.421875" style="1" bestFit="1" customWidth="1"/>
    <col min="519" max="520" width="9.7109375" style="1" bestFit="1" customWidth="1"/>
    <col min="521" max="525" width="9.421875" style="1" bestFit="1" customWidth="1"/>
    <col min="526" max="526" width="9.7109375" style="1" bestFit="1" customWidth="1"/>
    <col min="527" max="527" width="11.421875" style="1" bestFit="1" customWidth="1"/>
    <col min="528" max="539" width="9.28125" style="1" bestFit="1" customWidth="1"/>
    <col min="540" max="540" width="11.421875" style="1" bestFit="1" customWidth="1"/>
    <col min="541" max="767" width="8.8515625" style="1" customWidth="1"/>
    <col min="768" max="768" width="2.140625" style="1" customWidth="1"/>
    <col min="769" max="769" width="83.140625" style="1" bestFit="1" customWidth="1"/>
    <col min="770" max="773" width="9.7109375" style="1" bestFit="1" customWidth="1"/>
    <col min="774" max="774" width="9.421875" style="1" bestFit="1" customWidth="1"/>
    <col min="775" max="776" width="9.7109375" style="1" bestFit="1" customWidth="1"/>
    <col min="777" max="781" width="9.421875" style="1" bestFit="1" customWidth="1"/>
    <col min="782" max="782" width="9.7109375" style="1" bestFit="1" customWidth="1"/>
    <col min="783" max="783" width="11.421875" style="1" bestFit="1" customWidth="1"/>
    <col min="784" max="795" width="9.28125" style="1" bestFit="1" customWidth="1"/>
    <col min="796" max="796" width="11.421875" style="1" bestFit="1" customWidth="1"/>
    <col min="797" max="1023" width="8.8515625" style="1" customWidth="1"/>
    <col min="1024" max="1024" width="2.140625" style="1" customWidth="1"/>
    <col min="1025" max="1025" width="83.140625" style="1" bestFit="1" customWidth="1"/>
    <col min="1026" max="1029" width="9.7109375" style="1" bestFit="1" customWidth="1"/>
    <col min="1030" max="1030" width="9.421875" style="1" bestFit="1" customWidth="1"/>
    <col min="1031" max="1032" width="9.7109375" style="1" bestFit="1" customWidth="1"/>
    <col min="1033" max="1037" width="9.421875" style="1" bestFit="1" customWidth="1"/>
    <col min="1038" max="1038" width="9.7109375" style="1" bestFit="1" customWidth="1"/>
    <col min="1039" max="1039" width="11.421875" style="1" bestFit="1" customWidth="1"/>
    <col min="1040" max="1051" width="9.28125" style="1" bestFit="1" customWidth="1"/>
    <col min="1052" max="1052" width="11.421875" style="1" bestFit="1" customWidth="1"/>
    <col min="1053" max="1279" width="8.8515625" style="1" customWidth="1"/>
    <col min="1280" max="1280" width="2.140625" style="1" customWidth="1"/>
    <col min="1281" max="1281" width="83.140625" style="1" bestFit="1" customWidth="1"/>
    <col min="1282" max="1285" width="9.7109375" style="1" bestFit="1" customWidth="1"/>
    <col min="1286" max="1286" width="9.421875" style="1" bestFit="1" customWidth="1"/>
    <col min="1287" max="1288" width="9.7109375" style="1" bestFit="1" customWidth="1"/>
    <col min="1289" max="1293" width="9.421875" style="1" bestFit="1" customWidth="1"/>
    <col min="1294" max="1294" width="9.7109375" style="1" bestFit="1" customWidth="1"/>
    <col min="1295" max="1295" width="11.421875" style="1" bestFit="1" customWidth="1"/>
    <col min="1296" max="1307" width="9.28125" style="1" bestFit="1" customWidth="1"/>
    <col min="1308" max="1308" width="11.421875" style="1" bestFit="1" customWidth="1"/>
    <col min="1309" max="1535" width="8.8515625" style="1" customWidth="1"/>
    <col min="1536" max="1536" width="2.140625" style="1" customWidth="1"/>
    <col min="1537" max="1537" width="83.140625" style="1" bestFit="1" customWidth="1"/>
    <col min="1538" max="1541" width="9.7109375" style="1" bestFit="1" customWidth="1"/>
    <col min="1542" max="1542" width="9.421875" style="1" bestFit="1" customWidth="1"/>
    <col min="1543" max="1544" width="9.7109375" style="1" bestFit="1" customWidth="1"/>
    <col min="1545" max="1549" width="9.421875" style="1" bestFit="1" customWidth="1"/>
    <col min="1550" max="1550" width="9.7109375" style="1" bestFit="1" customWidth="1"/>
    <col min="1551" max="1551" width="11.421875" style="1" bestFit="1" customWidth="1"/>
    <col min="1552" max="1563" width="9.28125" style="1" bestFit="1" customWidth="1"/>
    <col min="1564" max="1564" width="11.421875" style="1" bestFit="1" customWidth="1"/>
    <col min="1565" max="1791" width="8.8515625" style="1" customWidth="1"/>
    <col min="1792" max="1792" width="2.140625" style="1" customWidth="1"/>
    <col min="1793" max="1793" width="83.140625" style="1" bestFit="1" customWidth="1"/>
    <col min="1794" max="1797" width="9.7109375" style="1" bestFit="1" customWidth="1"/>
    <col min="1798" max="1798" width="9.421875" style="1" bestFit="1" customWidth="1"/>
    <col min="1799" max="1800" width="9.7109375" style="1" bestFit="1" customWidth="1"/>
    <col min="1801" max="1805" width="9.421875" style="1" bestFit="1" customWidth="1"/>
    <col min="1806" max="1806" width="9.7109375" style="1" bestFit="1" customWidth="1"/>
    <col min="1807" max="1807" width="11.421875" style="1" bestFit="1" customWidth="1"/>
    <col min="1808" max="1819" width="9.28125" style="1" bestFit="1" customWidth="1"/>
    <col min="1820" max="1820" width="11.421875" style="1" bestFit="1" customWidth="1"/>
    <col min="1821" max="2047" width="8.8515625" style="1" customWidth="1"/>
    <col min="2048" max="2048" width="2.140625" style="1" customWidth="1"/>
    <col min="2049" max="2049" width="83.140625" style="1" bestFit="1" customWidth="1"/>
    <col min="2050" max="2053" width="9.7109375" style="1" bestFit="1" customWidth="1"/>
    <col min="2054" max="2054" width="9.421875" style="1" bestFit="1" customWidth="1"/>
    <col min="2055" max="2056" width="9.7109375" style="1" bestFit="1" customWidth="1"/>
    <col min="2057" max="2061" width="9.421875" style="1" bestFit="1" customWidth="1"/>
    <col min="2062" max="2062" width="9.7109375" style="1" bestFit="1" customWidth="1"/>
    <col min="2063" max="2063" width="11.421875" style="1" bestFit="1" customWidth="1"/>
    <col min="2064" max="2075" width="9.28125" style="1" bestFit="1" customWidth="1"/>
    <col min="2076" max="2076" width="11.421875" style="1" bestFit="1" customWidth="1"/>
    <col min="2077" max="2303" width="8.8515625" style="1" customWidth="1"/>
    <col min="2304" max="2304" width="2.140625" style="1" customWidth="1"/>
    <col min="2305" max="2305" width="83.140625" style="1" bestFit="1" customWidth="1"/>
    <col min="2306" max="2309" width="9.7109375" style="1" bestFit="1" customWidth="1"/>
    <col min="2310" max="2310" width="9.421875" style="1" bestFit="1" customWidth="1"/>
    <col min="2311" max="2312" width="9.7109375" style="1" bestFit="1" customWidth="1"/>
    <col min="2313" max="2317" width="9.421875" style="1" bestFit="1" customWidth="1"/>
    <col min="2318" max="2318" width="9.7109375" style="1" bestFit="1" customWidth="1"/>
    <col min="2319" max="2319" width="11.421875" style="1" bestFit="1" customWidth="1"/>
    <col min="2320" max="2331" width="9.28125" style="1" bestFit="1" customWidth="1"/>
    <col min="2332" max="2332" width="11.421875" style="1" bestFit="1" customWidth="1"/>
    <col min="2333" max="2559" width="8.8515625" style="1" customWidth="1"/>
    <col min="2560" max="2560" width="2.140625" style="1" customWidth="1"/>
    <col min="2561" max="2561" width="83.140625" style="1" bestFit="1" customWidth="1"/>
    <col min="2562" max="2565" width="9.7109375" style="1" bestFit="1" customWidth="1"/>
    <col min="2566" max="2566" width="9.421875" style="1" bestFit="1" customWidth="1"/>
    <col min="2567" max="2568" width="9.7109375" style="1" bestFit="1" customWidth="1"/>
    <col min="2569" max="2573" width="9.421875" style="1" bestFit="1" customWidth="1"/>
    <col min="2574" max="2574" width="9.7109375" style="1" bestFit="1" customWidth="1"/>
    <col min="2575" max="2575" width="11.421875" style="1" bestFit="1" customWidth="1"/>
    <col min="2576" max="2587" width="9.28125" style="1" bestFit="1" customWidth="1"/>
    <col min="2588" max="2588" width="11.421875" style="1" bestFit="1" customWidth="1"/>
    <col min="2589" max="2815" width="8.8515625" style="1" customWidth="1"/>
    <col min="2816" max="2816" width="2.140625" style="1" customWidth="1"/>
    <col min="2817" max="2817" width="83.140625" style="1" bestFit="1" customWidth="1"/>
    <col min="2818" max="2821" width="9.7109375" style="1" bestFit="1" customWidth="1"/>
    <col min="2822" max="2822" width="9.421875" style="1" bestFit="1" customWidth="1"/>
    <col min="2823" max="2824" width="9.7109375" style="1" bestFit="1" customWidth="1"/>
    <col min="2825" max="2829" width="9.421875" style="1" bestFit="1" customWidth="1"/>
    <col min="2830" max="2830" width="9.7109375" style="1" bestFit="1" customWidth="1"/>
    <col min="2831" max="2831" width="11.421875" style="1" bestFit="1" customWidth="1"/>
    <col min="2832" max="2843" width="9.28125" style="1" bestFit="1" customWidth="1"/>
    <col min="2844" max="2844" width="11.421875" style="1" bestFit="1" customWidth="1"/>
    <col min="2845" max="3071" width="8.8515625" style="1" customWidth="1"/>
    <col min="3072" max="3072" width="2.140625" style="1" customWidth="1"/>
    <col min="3073" max="3073" width="83.140625" style="1" bestFit="1" customWidth="1"/>
    <col min="3074" max="3077" width="9.7109375" style="1" bestFit="1" customWidth="1"/>
    <col min="3078" max="3078" width="9.421875" style="1" bestFit="1" customWidth="1"/>
    <col min="3079" max="3080" width="9.7109375" style="1" bestFit="1" customWidth="1"/>
    <col min="3081" max="3085" width="9.421875" style="1" bestFit="1" customWidth="1"/>
    <col min="3086" max="3086" width="9.7109375" style="1" bestFit="1" customWidth="1"/>
    <col min="3087" max="3087" width="11.421875" style="1" bestFit="1" customWidth="1"/>
    <col min="3088" max="3099" width="9.28125" style="1" bestFit="1" customWidth="1"/>
    <col min="3100" max="3100" width="11.421875" style="1" bestFit="1" customWidth="1"/>
    <col min="3101" max="3327" width="8.8515625" style="1" customWidth="1"/>
    <col min="3328" max="3328" width="2.140625" style="1" customWidth="1"/>
    <col min="3329" max="3329" width="83.140625" style="1" bestFit="1" customWidth="1"/>
    <col min="3330" max="3333" width="9.7109375" style="1" bestFit="1" customWidth="1"/>
    <col min="3334" max="3334" width="9.421875" style="1" bestFit="1" customWidth="1"/>
    <col min="3335" max="3336" width="9.7109375" style="1" bestFit="1" customWidth="1"/>
    <col min="3337" max="3341" width="9.421875" style="1" bestFit="1" customWidth="1"/>
    <col min="3342" max="3342" width="9.7109375" style="1" bestFit="1" customWidth="1"/>
    <col min="3343" max="3343" width="11.421875" style="1" bestFit="1" customWidth="1"/>
    <col min="3344" max="3355" width="9.28125" style="1" bestFit="1" customWidth="1"/>
    <col min="3356" max="3356" width="11.421875" style="1" bestFit="1" customWidth="1"/>
    <col min="3357" max="3583" width="8.8515625" style="1" customWidth="1"/>
    <col min="3584" max="3584" width="2.140625" style="1" customWidth="1"/>
    <col min="3585" max="3585" width="83.140625" style="1" bestFit="1" customWidth="1"/>
    <col min="3586" max="3589" width="9.7109375" style="1" bestFit="1" customWidth="1"/>
    <col min="3590" max="3590" width="9.421875" style="1" bestFit="1" customWidth="1"/>
    <col min="3591" max="3592" width="9.7109375" style="1" bestFit="1" customWidth="1"/>
    <col min="3593" max="3597" width="9.421875" style="1" bestFit="1" customWidth="1"/>
    <col min="3598" max="3598" width="9.7109375" style="1" bestFit="1" customWidth="1"/>
    <col min="3599" max="3599" width="11.421875" style="1" bestFit="1" customWidth="1"/>
    <col min="3600" max="3611" width="9.28125" style="1" bestFit="1" customWidth="1"/>
    <col min="3612" max="3612" width="11.421875" style="1" bestFit="1" customWidth="1"/>
    <col min="3613" max="3839" width="8.8515625" style="1" customWidth="1"/>
    <col min="3840" max="3840" width="2.140625" style="1" customWidth="1"/>
    <col min="3841" max="3841" width="83.140625" style="1" bestFit="1" customWidth="1"/>
    <col min="3842" max="3845" width="9.7109375" style="1" bestFit="1" customWidth="1"/>
    <col min="3846" max="3846" width="9.421875" style="1" bestFit="1" customWidth="1"/>
    <col min="3847" max="3848" width="9.7109375" style="1" bestFit="1" customWidth="1"/>
    <col min="3849" max="3853" width="9.421875" style="1" bestFit="1" customWidth="1"/>
    <col min="3854" max="3854" width="9.7109375" style="1" bestFit="1" customWidth="1"/>
    <col min="3855" max="3855" width="11.421875" style="1" bestFit="1" customWidth="1"/>
    <col min="3856" max="3867" width="9.28125" style="1" bestFit="1" customWidth="1"/>
    <col min="3868" max="3868" width="11.421875" style="1" bestFit="1" customWidth="1"/>
    <col min="3869" max="4095" width="8.8515625" style="1" customWidth="1"/>
    <col min="4096" max="4096" width="2.140625" style="1" customWidth="1"/>
    <col min="4097" max="4097" width="83.140625" style="1" bestFit="1" customWidth="1"/>
    <col min="4098" max="4101" width="9.7109375" style="1" bestFit="1" customWidth="1"/>
    <col min="4102" max="4102" width="9.421875" style="1" bestFit="1" customWidth="1"/>
    <col min="4103" max="4104" width="9.7109375" style="1" bestFit="1" customWidth="1"/>
    <col min="4105" max="4109" width="9.421875" style="1" bestFit="1" customWidth="1"/>
    <col min="4110" max="4110" width="9.7109375" style="1" bestFit="1" customWidth="1"/>
    <col min="4111" max="4111" width="11.421875" style="1" bestFit="1" customWidth="1"/>
    <col min="4112" max="4123" width="9.28125" style="1" bestFit="1" customWidth="1"/>
    <col min="4124" max="4124" width="11.421875" style="1" bestFit="1" customWidth="1"/>
    <col min="4125" max="4351" width="8.8515625" style="1" customWidth="1"/>
    <col min="4352" max="4352" width="2.140625" style="1" customWidth="1"/>
    <col min="4353" max="4353" width="83.140625" style="1" bestFit="1" customWidth="1"/>
    <col min="4354" max="4357" width="9.7109375" style="1" bestFit="1" customWidth="1"/>
    <col min="4358" max="4358" width="9.421875" style="1" bestFit="1" customWidth="1"/>
    <col min="4359" max="4360" width="9.7109375" style="1" bestFit="1" customWidth="1"/>
    <col min="4361" max="4365" width="9.421875" style="1" bestFit="1" customWidth="1"/>
    <col min="4366" max="4366" width="9.7109375" style="1" bestFit="1" customWidth="1"/>
    <col min="4367" max="4367" width="11.421875" style="1" bestFit="1" customWidth="1"/>
    <col min="4368" max="4379" width="9.28125" style="1" bestFit="1" customWidth="1"/>
    <col min="4380" max="4380" width="11.421875" style="1" bestFit="1" customWidth="1"/>
    <col min="4381" max="4607" width="8.8515625" style="1" customWidth="1"/>
    <col min="4608" max="4608" width="2.140625" style="1" customWidth="1"/>
    <col min="4609" max="4609" width="83.140625" style="1" bestFit="1" customWidth="1"/>
    <col min="4610" max="4613" width="9.7109375" style="1" bestFit="1" customWidth="1"/>
    <col min="4614" max="4614" width="9.421875" style="1" bestFit="1" customWidth="1"/>
    <col min="4615" max="4616" width="9.7109375" style="1" bestFit="1" customWidth="1"/>
    <col min="4617" max="4621" width="9.421875" style="1" bestFit="1" customWidth="1"/>
    <col min="4622" max="4622" width="9.7109375" style="1" bestFit="1" customWidth="1"/>
    <col min="4623" max="4623" width="11.421875" style="1" bestFit="1" customWidth="1"/>
    <col min="4624" max="4635" width="9.28125" style="1" bestFit="1" customWidth="1"/>
    <col min="4636" max="4636" width="11.421875" style="1" bestFit="1" customWidth="1"/>
    <col min="4637" max="4863" width="8.8515625" style="1" customWidth="1"/>
    <col min="4864" max="4864" width="2.140625" style="1" customWidth="1"/>
    <col min="4865" max="4865" width="83.140625" style="1" bestFit="1" customWidth="1"/>
    <col min="4866" max="4869" width="9.7109375" style="1" bestFit="1" customWidth="1"/>
    <col min="4870" max="4870" width="9.421875" style="1" bestFit="1" customWidth="1"/>
    <col min="4871" max="4872" width="9.7109375" style="1" bestFit="1" customWidth="1"/>
    <col min="4873" max="4877" width="9.421875" style="1" bestFit="1" customWidth="1"/>
    <col min="4878" max="4878" width="9.7109375" style="1" bestFit="1" customWidth="1"/>
    <col min="4879" max="4879" width="11.421875" style="1" bestFit="1" customWidth="1"/>
    <col min="4880" max="4891" width="9.28125" style="1" bestFit="1" customWidth="1"/>
    <col min="4892" max="4892" width="11.421875" style="1" bestFit="1" customWidth="1"/>
    <col min="4893" max="5119" width="8.8515625" style="1" customWidth="1"/>
    <col min="5120" max="5120" width="2.140625" style="1" customWidth="1"/>
    <col min="5121" max="5121" width="83.140625" style="1" bestFit="1" customWidth="1"/>
    <col min="5122" max="5125" width="9.7109375" style="1" bestFit="1" customWidth="1"/>
    <col min="5126" max="5126" width="9.421875" style="1" bestFit="1" customWidth="1"/>
    <col min="5127" max="5128" width="9.7109375" style="1" bestFit="1" customWidth="1"/>
    <col min="5129" max="5133" width="9.421875" style="1" bestFit="1" customWidth="1"/>
    <col min="5134" max="5134" width="9.7109375" style="1" bestFit="1" customWidth="1"/>
    <col min="5135" max="5135" width="11.421875" style="1" bestFit="1" customWidth="1"/>
    <col min="5136" max="5147" width="9.28125" style="1" bestFit="1" customWidth="1"/>
    <col min="5148" max="5148" width="11.421875" style="1" bestFit="1" customWidth="1"/>
    <col min="5149" max="5375" width="8.8515625" style="1" customWidth="1"/>
    <col min="5376" max="5376" width="2.140625" style="1" customWidth="1"/>
    <col min="5377" max="5377" width="83.140625" style="1" bestFit="1" customWidth="1"/>
    <col min="5378" max="5381" width="9.7109375" style="1" bestFit="1" customWidth="1"/>
    <col min="5382" max="5382" width="9.421875" style="1" bestFit="1" customWidth="1"/>
    <col min="5383" max="5384" width="9.7109375" style="1" bestFit="1" customWidth="1"/>
    <col min="5385" max="5389" width="9.421875" style="1" bestFit="1" customWidth="1"/>
    <col min="5390" max="5390" width="9.7109375" style="1" bestFit="1" customWidth="1"/>
    <col min="5391" max="5391" width="11.421875" style="1" bestFit="1" customWidth="1"/>
    <col min="5392" max="5403" width="9.28125" style="1" bestFit="1" customWidth="1"/>
    <col min="5404" max="5404" width="11.421875" style="1" bestFit="1" customWidth="1"/>
    <col min="5405" max="5631" width="8.8515625" style="1" customWidth="1"/>
    <col min="5632" max="5632" width="2.140625" style="1" customWidth="1"/>
    <col min="5633" max="5633" width="83.140625" style="1" bestFit="1" customWidth="1"/>
    <col min="5634" max="5637" width="9.7109375" style="1" bestFit="1" customWidth="1"/>
    <col min="5638" max="5638" width="9.421875" style="1" bestFit="1" customWidth="1"/>
    <col min="5639" max="5640" width="9.7109375" style="1" bestFit="1" customWidth="1"/>
    <col min="5641" max="5645" width="9.421875" style="1" bestFit="1" customWidth="1"/>
    <col min="5646" max="5646" width="9.7109375" style="1" bestFit="1" customWidth="1"/>
    <col min="5647" max="5647" width="11.421875" style="1" bestFit="1" customWidth="1"/>
    <col min="5648" max="5659" width="9.28125" style="1" bestFit="1" customWidth="1"/>
    <col min="5660" max="5660" width="11.421875" style="1" bestFit="1" customWidth="1"/>
    <col min="5661" max="5887" width="8.8515625" style="1" customWidth="1"/>
    <col min="5888" max="5888" width="2.140625" style="1" customWidth="1"/>
    <col min="5889" max="5889" width="83.140625" style="1" bestFit="1" customWidth="1"/>
    <col min="5890" max="5893" width="9.7109375" style="1" bestFit="1" customWidth="1"/>
    <col min="5894" max="5894" width="9.421875" style="1" bestFit="1" customWidth="1"/>
    <col min="5895" max="5896" width="9.7109375" style="1" bestFit="1" customWidth="1"/>
    <col min="5897" max="5901" width="9.421875" style="1" bestFit="1" customWidth="1"/>
    <col min="5902" max="5902" width="9.7109375" style="1" bestFit="1" customWidth="1"/>
    <col min="5903" max="5903" width="11.421875" style="1" bestFit="1" customWidth="1"/>
    <col min="5904" max="5915" width="9.28125" style="1" bestFit="1" customWidth="1"/>
    <col min="5916" max="5916" width="11.421875" style="1" bestFit="1" customWidth="1"/>
    <col min="5917" max="6143" width="8.8515625" style="1" customWidth="1"/>
    <col min="6144" max="6144" width="2.140625" style="1" customWidth="1"/>
    <col min="6145" max="6145" width="83.140625" style="1" bestFit="1" customWidth="1"/>
    <col min="6146" max="6149" width="9.7109375" style="1" bestFit="1" customWidth="1"/>
    <col min="6150" max="6150" width="9.421875" style="1" bestFit="1" customWidth="1"/>
    <col min="6151" max="6152" width="9.7109375" style="1" bestFit="1" customWidth="1"/>
    <col min="6153" max="6157" width="9.421875" style="1" bestFit="1" customWidth="1"/>
    <col min="6158" max="6158" width="9.7109375" style="1" bestFit="1" customWidth="1"/>
    <col min="6159" max="6159" width="11.421875" style="1" bestFit="1" customWidth="1"/>
    <col min="6160" max="6171" width="9.28125" style="1" bestFit="1" customWidth="1"/>
    <col min="6172" max="6172" width="11.421875" style="1" bestFit="1" customWidth="1"/>
    <col min="6173" max="6399" width="8.8515625" style="1" customWidth="1"/>
    <col min="6400" max="6400" width="2.140625" style="1" customWidth="1"/>
    <col min="6401" max="6401" width="83.140625" style="1" bestFit="1" customWidth="1"/>
    <col min="6402" max="6405" width="9.7109375" style="1" bestFit="1" customWidth="1"/>
    <col min="6406" max="6406" width="9.421875" style="1" bestFit="1" customWidth="1"/>
    <col min="6407" max="6408" width="9.7109375" style="1" bestFit="1" customWidth="1"/>
    <col min="6409" max="6413" width="9.421875" style="1" bestFit="1" customWidth="1"/>
    <col min="6414" max="6414" width="9.7109375" style="1" bestFit="1" customWidth="1"/>
    <col min="6415" max="6415" width="11.421875" style="1" bestFit="1" customWidth="1"/>
    <col min="6416" max="6427" width="9.28125" style="1" bestFit="1" customWidth="1"/>
    <col min="6428" max="6428" width="11.421875" style="1" bestFit="1" customWidth="1"/>
    <col min="6429" max="6655" width="8.8515625" style="1" customWidth="1"/>
    <col min="6656" max="6656" width="2.140625" style="1" customWidth="1"/>
    <col min="6657" max="6657" width="83.140625" style="1" bestFit="1" customWidth="1"/>
    <col min="6658" max="6661" width="9.7109375" style="1" bestFit="1" customWidth="1"/>
    <col min="6662" max="6662" width="9.421875" style="1" bestFit="1" customWidth="1"/>
    <col min="6663" max="6664" width="9.7109375" style="1" bestFit="1" customWidth="1"/>
    <col min="6665" max="6669" width="9.421875" style="1" bestFit="1" customWidth="1"/>
    <col min="6670" max="6670" width="9.7109375" style="1" bestFit="1" customWidth="1"/>
    <col min="6671" max="6671" width="11.421875" style="1" bestFit="1" customWidth="1"/>
    <col min="6672" max="6683" width="9.28125" style="1" bestFit="1" customWidth="1"/>
    <col min="6684" max="6684" width="11.421875" style="1" bestFit="1" customWidth="1"/>
    <col min="6685" max="6911" width="8.8515625" style="1" customWidth="1"/>
    <col min="6912" max="6912" width="2.140625" style="1" customWidth="1"/>
    <col min="6913" max="6913" width="83.140625" style="1" bestFit="1" customWidth="1"/>
    <col min="6914" max="6917" width="9.7109375" style="1" bestFit="1" customWidth="1"/>
    <col min="6918" max="6918" width="9.421875" style="1" bestFit="1" customWidth="1"/>
    <col min="6919" max="6920" width="9.7109375" style="1" bestFit="1" customWidth="1"/>
    <col min="6921" max="6925" width="9.421875" style="1" bestFit="1" customWidth="1"/>
    <col min="6926" max="6926" width="9.7109375" style="1" bestFit="1" customWidth="1"/>
    <col min="6927" max="6927" width="11.421875" style="1" bestFit="1" customWidth="1"/>
    <col min="6928" max="6939" width="9.28125" style="1" bestFit="1" customWidth="1"/>
    <col min="6940" max="6940" width="11.421875" style="1" bestFit="1" customWidth="1"/>
    <col min="6941" max="7167" width="8.8515625" style="1" customWidth="1"/>
    <col min="7168" max="7168" width="2.140625" style="1" customWidth="1"/>
    <col min="7169" max="7169" width="83.140625" style="1" bestFit="1" customWidth="1"/>
    <col min="7170" max="7173" width="9.7109375" style="1" bestFit="1" customWidth="1"/>
    <col min="7174" max="7174" width="9.421875" style="1" bestFit="1" customWidth="1"/>
    <col min="7175" max="7176" width="9.7109375" style="1" bestFit="1" customWidth="1"/>
    <col min="7177" max="7181" width="9.421875" style="1" bestFit="1" customWidth="1"/>
    <col min="7182" max="7182" width="9.7109375" style="1" bestFit="1" customWidth="1"/>
    <col min="7183" max="7183" width="11.421875" style="1" bestFit="1" customWidth="1"/>
    <col min="7184" max="7195" width="9.28125" style="1" bestFit="1" customWidth="1"/>
    <col min="7196" max="7196" width="11.421875" style="1" bestFit="1" customWidth="1"/>
    <col min="7197" max="7423" width="8.8515625" style="1" customWidth="1"/>
    <col min="7424" max="7424" width="2.140625" style="1" customWidth="1"/>
    <col min="7425" max="7425" width="83.140625" style="1" bestFit="1" customWidth="1"/>
    <col min="7426" max="7429" width="9.7109375" style="1" bestFit="1" customWidth="1"/>
    <col min="7430" max="7430" width="9.421875" style="1" bestFit="1" customWidth="1"/>
    <col min="7431" max="7432" width="9.7109375" style="1" bestFit="1" customWidth="1"/>
    <col min="7433" max="7437" width="9.421875" style="1" bestFit="1" customWidth="1"/>
    <col min="7438" max="7438" width="9.7109375" style="1" bestFit="1" customWidth="1"/>
    <col min="7439" max="7439" width="11.421875" style="1" bestFit="1" customWidth="1"/>
    <col min="7440" max="7451" width="9.28125" style="1" bestFit="1" customWidth="1"/>
    <col min="7452" max="7452" width="11.421875" style="1" bestFit="1" customWidth="1"/>
    <col min="7453" max="7679" width="8.8515625" style="1" customWidth="1"/>
    <col min="7680" max="7680" width="2.140625" style="1" customWidth="1"/>
    <col min="7681" max="7681" width="83.140625" style="1" bestFit="1" customWidth="1"/>
    <col min="7682" max="7685" width="9.7109375" style="1" bestFit="1" customWidth="1"/>
    <col min="7686" max="7686" width="9.421875" style="1" bestFit="1" customWidth="1"/>
    <col min="7687" max="7688" width="9.7109375" style="1" bestFit="1" customWidth="1"/>
    <col min="7689" max="7693" width="9.421875" style="1" bestFit="1" customWidth="1"/>
    <col min="7694" max="7694" width="9.7109375" style="1" bestFit="1" customWidth="1"/>
    <col min="7695" max="7695" width="11.421875" style="1" bestFit="1" customWidth="1"/>
    <col min="7696" max="7707" width="9.28125" style="1" bestFit="1" customWidth="1"/>
    <col min="7708" max="7708" width="11.421875" style="1" bestFit="1" customWidth="1"/>
    <col min="7709" max="7935" width="8.8515625" style="1" customWidth="1"/>
    <col min="7936" max="7936" width="2.140625" style="1" customWidth="1"/>
    <col min="7937" max="7937" width="83.140625" style="1" bestFit="1" customWidth="1"/>
    <col min="7938" max="7941" width="9.7109375" style="1" bestFit="1" customWidth="1"/>
    <col min="7942" max="7942" width="9.421875" style="1" bestFit="1" customWidth="1"/>
    <col min="7943" max="7944" width="9.7109375" style="1" bestFit="1" customWidth="1"/>
    <col min="7945" max="7949" width="9.421875" style="1" bestFit="1" customWidth="1"/>
    <col min="7950" max="7950" width="9.7109375" style="1" bestFit="1" customWidth="1"/>
    <col min="7951" max="7951" width="11.421875" style="1" bestFit="1" customWidth="1"/>
    <col min="7952" max="7963" width="9.28125" style="1" bestFit="1" customWidth="1"/>
    <col min="7964" max="7964" width="11.421875" style="1" bestFit="1" customWidth="1"/>
    <col min="7965" max="8191" width="8.8515625" style="1" customWidth="1"/>
    <col min="8192" max="8192" width="2.140625" style="1" customWidth="1"/>
    <col min="8193" max="8193" width="83.140625" style="1" bestFit="1" customWidth="1"/>
    <col min="8194" max="8197" width="9.7109375" style="1" bestFit="1" customWidth="1"/>
    <col min="8198" max="8198" width="9.421875" style="1" bestFit="1" customWidth="1"/>
    <col min="8199" max="8200" width="9.7109375" style="1" bestFit="1" customWidth="1"/>
    <col min="8201" max="8205" width="9.421875" style="1" bestFit="1" customWidth="1"/>
    <col min="8206" max="8206" width="9.7109375" style="1" bestFit="1" customWidth="1"/>
    <col min="8207" max="8207" width="11.421875" style="1" bestFit="1" customWidth="1"/>
    <col min="8208" max="8219" width="9.28125" style="1" bestFit="1" customWidth="1"/>
    <col min="8220" max="8220" width="11.421875" style="1" bestFit="1" customWidth="1"/>
    <col min="8221" max="8447" width="8.8515625" style="1" customWidth="1"/>
    <col min="8448" max="8448" width="2.140625" style="1" customWidth="1"/>
    <col min="8449" max="8449" width="83.140625" style="1" bestFit="1" customWidth="1"/>
    <col min="8450" max="8453" width="9.7109375" style="1" bestFit="1" customWidth="1"/>
    <col min="8454" max="8454" width="9.421875" style="1" bestFit="1" customWidth="1"/>
    <col min="8455" max="8456" width="9.7109375" style="1" bestFit="1" customWidth="1"/>
    <col min="8457" max="8461" width="9.421875" style="1" bestFit="1" customWidth="1"/>
    <col min="8462" max="8462" width="9.7109375" style="1" bestFit="1" customWidth="1"/>
    <col min="8463" max="8463" width="11.421875" style="1" bestFit="1" customWidth="1"/>
    <col min="8464" max="8475" width="9.28125" style="1" bestFit="1" customWidth="1"/>
    <col min="8476" max="8476" width="11.421875" style="1" bestFit="1" customWidth="1"/>
    <col min="8477" max="8703" width="8.8515625" style="1" customWidth="1"/>
    <col min="8704" max="8704" width="2.140625" style="1" customWidth="1"/>
    <col min="8705" max="8705" width="83.140625" style="1" bestFit="1" customWidth="1"/>
    <col min="8706" max="8709" width="9.7109375" style="1" bestFit="1" customWidth="1"/>
    <col min="8710" max="8710" width="9.421875" style="1" bestFit="1" customWidth="1"/>
    <col min="8711" max="8712" width="9.7109375" style="1" bestFit="1" customWidth="1"/>
    <col min="8713" max="8717" width="9.421875" style="1" bestFit="1" customWidth="1"/>
    <col min="8718" max="8718" width="9.7109375" style="1" bestFit="1" customWidth="1"/>
    <col min="8719" max="8719" width="11.421875" style="1" bestFit="1" customWidth="1"/>
    <col min="8720" max="8731" width="9.28125" style="1" bestFit="1" customWidth="1"/>
    <col min="8732" max="8732" width="11.421875" style="1" bestFit="1" customWidth="1"/>
    <col min="8733" max="8959" width="8.8515625" style="1" customWidth="1"/>
    <col min="8960" max="8960" width="2.140625" style="1" customWidth="1"/>
    <col min="8961" max="8961" width="83.140625" style="1" bestFit="1" customWidth="1"/>
    <col min="8962" max="8965" width="9.7109375" style="1" bestFit="1" customWidth="1"/>
    <col min="8966" max="8966" width="9.421875" style="1" bestFit="1" customWidth="1"/>
    <col min="8967" max="8968" width="9.7109375" style="1" bestFit="1" customWidth="1"/>
    <col min="8969" max="8973" width="9.421875" style="1" bestFit="1" customWidth="1"/>
    <col min="8974" max="8974" width="9.7109375" style="1" bestFit="1" customWidth="1"/>
    <col min="8975" max="8975" width="11.421875" style="1" bestFit="1" customWidth="1"/>
    <col min="8976" max="8987" width="9.28125" style="1" bestFit="1" customWidth="1"/>
    <col min="8988" max="8988" width="11.421875" style="1" bestFit="1" customWidth="1"/>
    <col min="8989" max="9215" width="8.8515625" style="1" customWidth="1"/>
    <col min="9216" max="9216" width="2.140625" style="1" customWidth="1"/>
    <col min="9217" max="9217" width="83.140625" style="1" bestFit="1" customWidth="1"/>
    <col min="9218" max="9221" width="9.7109375" style="1" bestFit="1" customWidth="1"/>
    <col min="9222" max="9222" width="9.421875" style="1" bestFit="1" customWidth="1"/>
    <col min="9223" max="9224" width="9.7109375" style="1" bestFit="1" customWidth="1"/>
    <col min="9225" max="9229" width="9.421875" style="1" bestFit="1" customWidth="1"/>
    <col min="9230" max="9230" width="9.7109375" style="1" bestFit="1" customWidth="1"/>
    <col min="9231" max="9231" width="11.421875" style="1" bestFit="1" customWidth="1"/>
    <col min="9232" max="9243" width="9.28125" style="1" bestFit="1" customWidth="1"/>
    <col min="9244" max="9244" width="11.421875" style="1" bestFit="1" customWidth="1"/>
    <col min="9245" max="9471" width="8.8515625" style="1" customWidth="1"/>
    <col min="9472" max="9472" width="2.140625" style="1" customWidth="1"/>
    <col min="9473" max="9473" width="83.140625" style="1" bestFit="1" customWidth="1"/>
    <col min="9474" max="9477" width="9.7109375" style="1" bestFit="1" customWidth="1"/>
    <col min="9478" max="9478" width="9.421875" style="1" bestFit="1" customWidth="1"/>
    <col min="9479" max="9480" width="9.7109375" style="1" bestFit="1" customWidth="1"/>
    <col min="9481" max="9485" width="9.421875" style="1" bestFit="1" customWidth="1"/>
    <col min="9486" max="9486" width="9.7109375" style="1" bestFit="1" customWidth="1"/>
    <col min="9487" max="9487" width="11.421875" style="1" bestFit="1" customWidth="1"/>
    <col min="9488" max="9499" width="9.28125" style="1" bestFit="1" customWidth="1"/>
    <col min="9500" max="9500" width="11.421875" style="1" bestFit="1" customWidth="1"/>
    <col min="9501" max="9727" width="8.8515625" style="1" customWidth="1"/>
    <col min="9728" max="9728" width="2.140625" style="1" customWidth="1"/>
    <col min="9729" max="9729" width="83.140625" style="1" bestFit="1" customWidth="1"/>
    <col min="9730" max="9733" width="9.7109375" style="1" bestFit="1" customWidth="1"/>
    <col min="9734" max="9734" width="9.421875" style="1" bestFit="1" customWidth="1"/>
    <col min="9735" max="9736" width="9.7109375" style="1" bestFit="1" customWidth="1"/>
    <col min="9737" max="9741" width="9.421875" style="1" bestFit="1" customWidth="1"/>
    <col min="9742" max="9742" width="9.7109375" style="1" bestFit="1" customWidth="1"/>
    <col min="9743" max="9743" width="11.421875" style="1" bestFit="1" customWidth="1"/>
    <col min="9744" max="9755" width="9.28125" style="1" bestFit="1" customWidth="1"/>
    <col min="9756" max="9756" width="11.421875" style="1" bestFit="1" customWidth="1"/>
    <col min="9757" max="9983" width="8.8515625" style="1" customWidth="1"/>
    <col min="9984" max="9984" width="2.140625" style="1" customWidth="1"/>
    <col min="9985" max="9985" width="83.140625" style="1" bestFit="1" customWidth="1"/>
    <col min="9986" max="9989" width="9.7109375" style="1" bestFit="1" customWidth="1"/>
    <col min="9990" max="9990" width="9.421875" style="1" bestFit="1" customWidth="1"/>
    <col min="9991" max="9992" width="9.7109375" style="1" bestFit="1" customWidth="1"/>
    <col min="9993" max="9997" width="9.421875" style="1" bestFit="1" customWidth="1"/>
    <col min="9998" max="9998" width="9.7109375" style="1" bestFit="1" customWidth="1"/>
    <col min="9999" max="9999" width="11.421875" style="1" bestFit="1" customWidth="1"/>
    <col min="10000" max="10011" width="9.28125" style="1" bestFit="1" customWidth="1"/>
    <col min="10012" max="10012" width="11.421875" style="1" bestFit="1" customWidth="1"/>
    <col min="10013" max="10239" width="8.8515625" style="1" customWidth="1"/>
    <col min="10240" max="10240" width="2.140625" style="1" customWidth="1"/>
    <col min="10241" max="10241" width="83.140625" style="1" bestFit="1" customWidth="1"/>
    <col min="10242" max="10245" width="9.7109375" style="1" bestFit="1" customWidth="1"/>
    <col min="10246" max="10246" width="9.421875" style="1" bestFit="1" customWidth="1"/>
    <col min="10247" max="10248" width="9.7109375" style="1" bestFit="1" customWidth="1"/>
    <col min="10249" max="10253" width="9.421875" style="1" bestFit="1" customWidth="1"/>
    <col min="10254" max="10254" width="9.7109375" style="1" bestFit="1" customWidth="1"/>
    <col min="10255" max="10255" width="11.421875" style="1" bestFit="1" customWidth="1"/>
    <col min="10256" max="10267" width="9.28125" style="1" bestFit="1" customWidth="1"/>
    <col min="10268" max="10268" width="11.421875" style="1" bestFit="1" customWidth="1"/>
    <col min="10269" max="10495" width="8.8515625" style="1" customWidth="1"/>
    <col min="10496" max="10496" width="2.140625" style="1" customWidth="1"/>
    <col min="10497" max="10497" width="83.140625" style="1" bestFit="1" customWidth="1"/>
    <col min="10498" max="10501" width="9.7109375" style="1" bestFit="1" customWidth="1"/>
    <col min="10502" max="10502" width="9.421875" style="1" bestFit="1" customWidth="1"/>
    <col min="10503" max="10504" width="9.7109375" style="1" bestFit="1" customWidth="1"/>
    <col min="10505" max="10509" width="9.421875" style="1" bestFit="1" customWidth="1"/>
    <col min="10510" max="10510" width="9.7109375" style="1" bestFit="1" customWidth="1"/>
    <col min="10511" max="10511" width="11.421875" style="1" bestFit="1" customWidth="1"/>
    <col min="10512" max="10523" width="9.28125" style="1" bestFit="1" customWidth="1"/>
    <col min="10524" max="10524" width="11.421875" style="1" bestFit="1" customWidth="1"/>
    <col min="10525" max="10751" width="8.8515625" style="1" customWidth="1"/>
    <col min="10752" max="10752" width="2.140625" style="1" customWidth="1"/>
    <col min="10753" max="10753" width="83.140625" style="1" bestFit="1" customWidth="1"/>
    <col min="10754" max="10757" width="9.7109375" style="1" bestFit="1" customWidth="1"/>
    <col min="10758" max="10758" width="9.421875" style="1" bestFit="1" customWidth="1"/>
    <col min="10759" max="10760" width="9.7109375" style="1" bestFit="1" customWidth="1"/>
    <col min="10761" max="10765" width="9.421875" style="1" bestFit="1" customWidth="1"/>
    <col min="10766" max="10766" width="9.7109375" style="1" bestFit="1" customWidth="1"/>
    <col min="10767" max="10767" width="11.421875" style="1" bestFit="1" customWidth="1"/>
    <col min="10768" max="10779" width="9.28125" style="1" bestFit="1" customWidth="1"/>
    <col min="10780" max="10780" width="11.421875" style="1" bestFit="1" customWidth="1"/>
    <col min="10781" max="11007" width="8.8515625" style="1" customWidth="1"/>
    <col min="11008" max="11008" width="2.140625" style="1" customWidth="1"/>
    <col min="11009" max="11009" width="83.140625" style="1" bestFit="1" customWidth="1"/>
    <col min="11010" max="11013" width="9.7109375" style="1" bestFit="1" customWidth="1"/>
    <col min="11014" max="11014" width="9.421875" style="1" bestFit="1" customWidth="1"/>
    <col min="11015" max="11016" width="9.7109375" style="1" bestFit="1" customWidth="1"/>
    <col min="11017" max="11021" width="9.421875" style="1" bestFit="1" customWidth="1"/>
    <col min="11022" max="11022" width="9.7109375" style="1" bestFit="1" customWidth="1"/>
    <col min="11023" max="11023" width="11.421875" style="1" bestFit="1" customWidth="1"/>
    <col min="11024" max="11035" width="9.28125" style="1" bestFit="1" customWidth="1"/>
    <col min="11036" max="11036" width="11.421875" style="1" bestFit="1" customWidth="1"/>
    <col min="11037" max="11263" width="8.8515625" style="1" customWidth="1"/>
    <col min="11264" max="11264" width="2.140625" style="1" customWidth="1"/>
    <col min="11265" max="11265" width="83.140625" style="1" bestFit="1" customWidth="1"/>
    <col min="11266" max="11269" width="9.7109375" style="1" bestFit="1" customWidth="1"/>
    <col min="11270" max="11270" width="9.421875" style="1" bestFit="1" customWidth="1"/>
    <col min="11271" max="11272" width="9.7109375" style="1" bestFit="1" customWidth="1"/>
    <col min="11273" max="11277" width="9.421875" style="1" bestFit="1" customWidth="1"/>
    <col min="11278" max="11278" width="9.7109375" style="1" bestFit="1" customWidth="1"/>
    <col min="11279" max="11279" width="11.421875" style="1" bestFit="1" customWidth="1"/>
    <col min="11280" max="11291" width="9.28125" style="1" bestFit="1" customWidth="1"/>
    <col min="11292" max="11292" width="11.421875" style="1" bestFit="1" customWidth="1"/>
    <col min="11293" max="11519" width="8.8515625" style="1" customWidth="1"/>
    <col min="11520" max="11520" width="2.140625" style="1" customWidth="1"/>
    <col min="11521" max="11521" width="83.140625" style="1" bestFit="1" customWidth="1"/>
    <col min="11522" max="11525" width="9.7109375" style="1" bestFit="1" customWidth="1"/>
    <col min="11526" max="11526" width="9.421875" style="1" bestFit="1" customWidth="1"/>
    <col min="11527" max="11528" width="9.7109375" style="1" bestFit="1" customWidth="1"/>
    <col min="11529" max="11533" width="9.421875" style="1" bestFit="1" customWidth="1"/>
    <col min="11534" max="11534" width="9.7109375" style="1" bestFit="1" customWidth="1"/>
    <col min="11535" max="11535" width="11.421875" style="1" bestFit="1" customWidth="1"/>
    <col min="11536" max="11547" width="9.28125" style="1" bestFit="1" customWidth="1"/>
    <col min="11548" max="11548" width="11.421875" style="1" bestFit="1" customWidth="1"/>
    <col min="11549" max="11775" width="8.8515625" style="1" customWidth="1"/>
    <col min="11776" max="11776" width="2.140625" style="1" customWidth="1"/>
    <col min="11777" max="11777" width="83.140625" style="1" bestFit="1" customWidth="1"/>
    <col min="11778" max="11781" width="9.7109375" style="1" bestFit="1" customWidth="1"/>
    <col min="11782" max="11782" width="9.421875" style="1" bestFit="1" customWidth="1"/>
    <col min="11783" max="11784" width="9.7109375" style="1" bestFit="1" customWidth="1"/>
    <col min="11785" max="11789" width="9.421875" style="1" bestFit="1" customWidth="1"/>
    <col min="11790" max="11790" width="9.7109375" style="1" bestFit="1" customWidth="1"/>
    <col min="11791" max="11791" width="11.421875" style="1" bestFit="1" customWidth="1"/>
    <col min="11792" max="11803" width="9.28125" style="1" bestFit="1" customWidth="1"/>
    <col min="11804" max="11804" width="11.421875" style="1" bestFit="1" customWidth="1"/>
    <col min="11805" max="12031" width="8.8515625" style="1" customWidth="1"/>
    <col min="12032" max="12032" width="2.140625" style="1" customWidth="1"/>
    <col min="12033" max="12033" width="83.140625" style="1" bestFit="1" customWidth="1"/>
    <col min="12034" max="12037" width="9.7109375" style="1" bestFit="1" customWidth="1"/>
    <col min="12038" max="12038" width="9.421875" style="1" bestFit="1" customWidth="1"/>
    <col min="12039" max="12040" width="9.7109375" style="1" bestFit="1" customWidth="1"/>
    <col min="12041" max="12045" width="9.421875" style="1" bestFit="1" customWidth="1"/>
    <col min="12046" max="12046" width="9.7109375" style="1" bestFit="1" customWidth="1"/>
    <col min="12047" max="12047" width="11.421875" style="1" bestFit="1" customWidth="1"/>
    <col min="12048" max="12059" width="9.28125" style="1" bestFit="1" customWidth="1"/>
    <col min="12060" max="12060" width="11.421875" style="1" bestFit="1" customWidth="1"/>
    <col min="12061" max="12287" width="8.8515625" style="1" customWidth="1"/>
    <col min="12288" max="12288" width="2.140625" style="1" customWidth="1"/>
    <col min="12289" max="12289" width="83.140625" style="1" bestFit="1" customWidth="1"/>
    <col min="12290" max="12293" width="9.7109375" style="1" bestFit="1" customWidth="1"/>
    <col min="12294" max="12294" width="9.421875" style="1" bestFit="1" customWidth="1"/>
    <col min="12295" max="12296" width="9.7109375" style="1" bestFit="1" customWidth="1"/>
    <col min="12297" max="12301" width="9.421875" style="1" bestFit="1" customWidth="1"/>
    <col min="12302" max="12302" width="9.7109375" style="1" bestFit="1" customWidth="1"/>
    <col min="12303" max="12303" width="11.421875" style="1" bestFit="1" customWidth="1"/>
    <col min="12304" max="12315" width="9.28125" style="1" bestFit="1" customWidth="1"/>
    <col min="12316" max="12316" width="11.421875" style="1" bestFit="1" customWidth="1"/>
    <col min="12317" max="12543" width="8.8515625" style="1" customWidth="1"/>
    <col min="12544" max="12544" width="2.140625" style="1" customWidth="1"/>
    <col min="12545" max="12545" width="83.140625" style="1" bestFit="1" customWidth="1"/>
    <col min="12546" max="12549" width="9.7109375" style="1" bestFit="1" customWidth="1"/>
    <col min="12550" max="12550" width="9.421875" style="1" bestFit="1" customWidth="1"/>
    <col min="12551" max="12552" width="9.7109375" style="1" bestFit="1" customWidth="1"/>
    <col min="12553" max="12557" width="9.421875" style="1" bestFit="1" customWidth="1"/>
    <col min="12558" max="12558" width="9.7109375" style="1" bestFit="1" customWidth="1"/>
    <col min="12559" max="12559" width="11.421875" style="1" bestFit="1" customWidth="1"/>
    <col min="12560" max="12571" width="9.28125" style="1" bestFit="1" customWidth="1"/>
    <col min="12572" max="12572" width="11.421875" style="1" bestFit="1" customWidth="1"/>
    <col min="12573" max="12799" width="8.8515625" style="1" customWidth="1"/>
    <col min="12800" max="12800" width="2.140625" style="1" customWidth="1"/>
    <col min="12801" max="12801" width="83.140625" style="1" bestFit="1" customWidth="1"/>
    <col min="12802" max="12805" width="9.7109375" style="1" bestFit="1" customWidth="1"/>
    <col min="12806" max="12806" width="9.421875" style="1" bestFit="1" customWidth="1"/>
    <col min="12807" max="12808" width="9.7109375" style="1" bestFit="1" customWidth="1"/>
    <col min="12809" max="12813" width="9.421875" style="1" bestFit="1" customWidth="1"/>
    <col min="12814" max="12814" width="9.7109375" style="1" bestFit="1" customWidth="1"/>
    <col min="12815" max="12815" width="11.421875" style="1" bestFit="1" customWidth="1"/>
    <col min="12816" max="12827" width="9.28125" style="1" bestFit="1" customWidth="1"/>
    <col min="12828" max="12828" width="11.421875" style="1" bestFit="1" customWidth="1"/>
    <col min="12829" max="13055" width="8.8515625" style="1" customWidth="1"/>
    <col min="13056" max="13056" width="2.140625" style="1" customWidth="1"/>
    <col min="13057" max="13057" width="83.140625" style="1" bestFit="1" customWidth="1"/>
    <col min="13058" max="13061" width="9.7109375" style="1" bestFit="1" customWidth="1"/>
    <col min="13062" max="13062" width="9.421875" style="1" bestFit="1" customWidth="1"/>
    <col min="13063" max="13064" width="9.7109375" style="1" bestFit="1" customWidth="1"/>
    <col min="13065" max="13069" width="9.421875" style="1" bestFit="1" customWidth="1"/>
    <col min="13070" max="13070" width="9.7109375" style="1" bestFit="1" customWidth="1"/>
    <col min="13071" max="13071" width="11.421875" style="1" bestFit="1" customWidth="1"/>
    <col min="13072" max="13083" width="9.28125" style="1" bestFit="1" customWidth="1"/>
    <col min="13084" max="13084" width="11.421875" style="1" bestFit="1" customWidth="1"/>
    <col min="13085" max="13311" width="8.8515625" style="1" customWidth="1"/>
    <col min="13312" max="13312" width="2.140625" style="1" customWidth="1"/>
    <col min="13313" max="13313" width="83.140625" style="1" bestFit="1" customWidth="1"/>
    <col min="13314" max="13317" width="9.7109375" style="1" bestFit="1" customWidth="1"/>
    <col min="13318" max="13318" width="9.421875" style="1" bestFit="1" customWidth="1"/>
    <col min="13319" max="13320" width="9.7109375" style="1" bestFit="1" customWidth="1"/>
    <col min="13321" max="13325" width="9.421875" style="1" bestFit="1" customWidth="1"/>
    <col min="13326" max="13326" width="9.7109375" style="1" bestFit="1" customWidth="1"/>
    <col min="13327" max="13327" width="11.421875" style="1" bestFit="1" customWidth="1"/>
    <col min="13328" max="13339" width="9.28125" style="1" bestFit="1" customWidth="1"/>
    <col min="13340" max="13340" width="11.421875" style="1" bestFit="1" customWidth="1"/>
    <col min="13341" max="13567" width="8.8515625" style="1" customWidth="1"/>
    <col min="13568" max="13568" width="2.140625" style="1" customWidth="1"/>
    <col min="13569" max="13569" width="83.140625" style="1" bestFit="1" customWidth="1"/>
    <col min="13570" max="13573" width="9.7109375" style="1" bestFit="1" customWidth="1"/>
    <col min="13574" max="13574" width="9.421875" style="1" bestFit="1" customWidth="1"/>
    <col min="13575" max="13576" width="9.7109375" style="1" bestFit="1" customWidth="1"/>
    <col min="13577" max="13581" width="9.421875" style="1" bestFit="1" customWidth="1"/>
    <col min="13582" max="13582" width="9.7109375" style="1" bestFit="1" customWidth="1"/>
    <col min="13583" max="13583" width="11.421875" style="1" bestFit="1" customWidth="1"/>
    <col min="13584" max="13595" width="9.28125" style="1" bestFit="1" customWidth="1"/>
    <col min="13596" max="13596" width="11.421875" style="1" bestFit="1" customWidth="1"/>
    <col min="13597" max="13823" width="8.8515625" style="1" customWidth="1"/>
    <col min="13824" max="13824" width="2.140625" style="1" customWidth="1"/>
    <col min="13825" max="13825" width="83.140625" style="1" bestFit="1" customWidth="1"/>
    <col min="13826" max="13829" width="9.7109375" style="1" bestFit="1" customWidth="1"/>
    <col min="13830" max="13830" width="9.421875" style="1" bestFit="1" customWidth="1"/>
    <col min="13831" max="13832" width="9.7109375" style="1" bestFit="1" customWidth="1"/>
    <col min="13833" max="13837" width="9.421875" style="1" bestFit="1" customWidth="1"/>
    <col min="13838" max="13838" width="9.7109375" style="1" bestFit="1" customWidth="1"/>
    <col min="13839" max="13839" width="11.421875" style="1" bestFit="1" customWidth="1"/>
    <col min="13840" max="13851" width="9.28125" style="1" bestFit="1" customWidth="1"/>
    <col min="13852" max="13852" width="11.421875" style="1" bestFit="1" customWidth="1"/>
    <col min="13853" max="14079" width="8.8515625" style="1" customWidth="1"/>
    <col min="14080" max="14080" width="2.140625" style="1" customWidth="1"/>
    <col min="14081" max="14081" width="83.140625" style="1" bestFit="1" customWidth="1"/>
    <col min="14082" max="14085" width="9.7109375" style="1" bestFit="1" customWidth="1"/>
    <col min="14086" max="14086" width="9.421875" style="1" bestFit="1" customWidth="1"/>
    <col min="14087" max="14088" width="9.7109375" style="1" bestFit="1" customWidth="1"/>
    <col min="14089" max="14093" width="9.421875" style="1" bestFit="1" customWidth="1"/>
    <col min="14094" max="14094" width="9.7109375" style="1" bestFit="1" customWidth="1"/>
    <col min="14095" max="14095" width="11.421875" style="1" bestFit="1" customWidth="1"/>
    <col min="14096" max="14107" width="9.28125" style="1" bestFit="1" customWidth="1"/>
    <col min="14108" max="14108" width="11.421875" style="1" bestFit="1" customWidth="1"/>
    <col min="14109" max="14335" width="8.8515625" style="1" customWidth="1"/>
    <col min="14336" max="14336" width="2.140625" style="1" customWidth="1"/>
    <col min="14337" max="14337" width="83.140625" style="1" bestFit="1" customWidth="1"/>
    <col min="14338" max="14341" width="9.7109375" style="1" bestFit="1" customWidth="1"/>
    <col min="14342" max="14342" width="9.421875" style="1" bestFit="1" customWidth="1"/>
    <col min="14343" max="14344" width="9.7109375" style="1" bestFit="1" customWidth="1"/>
    <col min="14345" max="14349" width="9.421875" style="1" bestFit="1" customWidth="1"/>
    <col min="14350" max="14350" width="9.7109375" style="1" bestFit="1" customWidth="1"/>
    <col min="14351" max="14351" width="11.421875" style="1" bestFit="1" customWidth="1"/>
    <col min="14352" max="14363" width="9.28125" style="1" bestFit="1" customWidth="1"/>
    <col min="14364" max="14364" width="11.421875" style="1" bestFit="1" customWidth="1"/>
    <col min="14365" max="14591" width="8.8515625" style="1" customWidth="1"/>
    <col min="14592" max="14592" width="2.140625" style="1" customWidth="1"/>
    <col min="14593" max="14593" width="83.140625" style="1" bestFit="1" customWidth="1"/>
    <col min="14594" max="14597" width="9.7109375" style="1" bestFit="1" customWidth="1"/>
    <col min="14598" max="14598" width="9.421875" style="1" bestFit="1" customWidth="1"/>
    <col min="14599" max="14600" width="9.7109375" style="1" bestFit="1" customWidth="1"/>
    <col min="14601" max="14605" width="9.421875" style="1" bestFit="1" customWidth="1"/>
    <col min="14606" max="14606" width="9.7109375" style="1" bestFit="1" customWidth="1"/>
    <col min="14607" max="14607" width="11.421875" style="1" bestFit="1" customWidth="1"/>
    <col min="14608" max="14619" width="9.28125" style="1" bestFit="1" customWidth="1"/>
    <col min="14620" max="14620" width="11.421875" style="1" bestFit="1" customWidth="1"/>
    <col min="14621" max="14847" width="8.8515625" style="1" customWidth="1"/>
    <col min="14848" max="14848" width="2.140625" style="1" customWidth="1"/>
    <col min="14849" max="14849" width="83.140625" style="1" bestFit="1" customWidth="1"/>
    <col min="14850" max="14853" width="9.7109375" style="1" bestFit="1" customWidth="1"/>
    <col min="14854" max="14854" width="9.421875" style="1" bestFit="1" customWidth="1"/>
    <col min="14855" max="14856" width="9.7109375" style="1" bestFit="1" customWidth="1"/>
    <col min="14857" max="14861" width="9.421875" style="1" bestFit="1" customWidth="1"/>
    <col min="14862" max="14862" width="9.7109375" style="1" bestFit="1" customWidth="1"/>
    <col min="14863" max="14863" width="11.421875" style="1" bestFit="1" customWidth="1"/>
    <col min="14864" max="14875" width="9.28125" style="1" bestFit="1" customWidth="1"/>
    <col min="14876" max="14876" width="11.421875" style="1" bestFit="1" customWidth="1"/>
    <col min="14877" max="15103" width="8.8515625" style="1" customWidth="1"/>
    <col min="15104" max="15104" width="2.140625" style="1" customWidth="1"/>
    <col min="15105" max="15105" width="83.140625" style="1" bestFit="1" customWidth="1"/>
    <col min="15106" max="15109" width="9.7109375" style="1" bestFit="1" customWidth="1"/>
    <col min="15110" max="15110" width="9.421875" style="1" bestFit="1" customWidth="1"/>
    <col min="15111" max="15112" width="9.7109375" style="1" bestFit="1" customWidth="1"/>
    <col min="15113" max="15117" width="9.421875" style="1" bestFit="1" customWidth="1"/>
    <col min="15118" max="15118" width="9.7109375" style="1" bestFit="1" customWidth="1"/>
    <col min="15119" max="15119" width="11.421875" style="1" bestFit="1" customWidth="1"/>
    <col min="15120" max="15131" width="9.28125" style="1" bestFit="1" customWidth="1"/>
    <col min="15132" max="15132" width="11.421875" style="1" bestFit="1" customWidth="1"/>
    <col min="15133" max="15359" width="8.8515625" style="1" customWidth="1"/>
    <col min="15360" max="15360" width="2.140625" style="1" customWidth="1"/>
    <col min="15361" max="15361" width="83.140625" style="1" bestFit="1" customWidth="1"/>
    <col min="15362" max="15365" width="9.7109375" style="1" bestFit="1" customWidth="1"/>
    <col min="15366" max="15366" width="9.421875" style="1" bestFit="1" customWidth="1"/>
    <col min="15367" max="15368" width="9.7109375" style="1" bestFit="1" customWidth="1"/>
    <col min="15369" max="15373" width="9.421875" style="1" bestFit="1" customWidth="1"/>
    <col min="15374" max="15374" width="9.7109375" style="1" bestFit="1" customWidth="1"/>
    <col min="15375" max="15375" width="11.421875" style="1" bestFit="1" customWidth="1"/>
    <col min="15376" max="15387" width="9.28125" style="1" bestFit="1" customWidth="1"/>
    <col min="15388" max="15388" width="11.421875" style="1" bestFit="1" customWidth="1"/>
    <col min="15389" max="15615" width="8.8515625" style="1" customWidth="1"/>
    <col min="15616" max="15616" width="2.140625" style="1" customWidth="1"/>
    <col min="15617" max="15617" width="83.140625" style="1" bestFit="1" customWidth="1"/>
    <col min="15618" max="15621" width="9.7109375" style="1" bestFit="1" customWidth="1"/>
    <col min="15622" max="15622" width="9.421875" style="1" bestFit="1" customWidth="1"/>
    <col min="15623" max="15624" width="9.7109375" style="1" bestFit="1" customWidth="1"/>
    <col min="15625" max="15629" width="9.421875" style="1" bestFit="1" customWidth="1"/>
    <col min="15630" max="15630" width="9.7109375" style="1" bestFit="1" customWidth="1"/>
    <col min="15631" max="15631" width="11.421875" style="1" bestFit="1" customWidth="1"/>
    <col min="15632" max="15643" width="9.28125" style="1" bestFit="1" customWidth="1"/>
    <col min="15644" max="15644" width="11.421875" style="1" bestFit="1" customWidth="1"/>
    <col min="15645" max="15871" width="8.8515625" style="1" customWidth="1"/>
    <col min="15872" max="15872" width="2.140625" style="1" customWidth="1"/>
    <col min="15873" max="15873" width="83.140625" style="1" bestFit="1" customWidth="1"/>
    <col min="15874" max="15877" width="9.7109375" style="1" bestFit="1" customWidth="1"/>
    <col min="15878" max="15878" width="9.421875" style="1" bestFit="1" customWidth="1"/>
    <col min="15879" max="15880" width="9.7109375" style="1" bestFit="1" customWidth="1"/>
    <col min="15881" max="15885" width="9.421875" style="1" bestFit="1" customWidth="1"/>
    <col min="15886" max="15886" width="9.7109375" style="1" bestFit="1" customWidth="1"/>
    <col min="15887" max="15887" width="11.421875" style="1" bestFit="1" customWidth="1"/>
    <col min="15888" max="15899" width="9.28125" style="1" bestFit="1" customWidth="1"/>
    <col min="15900" max="15900" width="11.421875" style="1" bestFit="1" customWidth="1"/>
    <col min="15901" max="16127" width="8.8515625" style="1" customWidth="1"/>
    <col min="16128" max="16128" width="2.140625" style="1" customWidth="1"/>
    <col min="16129" max="16129" width="83.140625" style="1" bestFit="1" customWidth="1"/>
    <col min="16130" max="16133" width="9.7109375" style="1" bestFit="1" customWidth="1"/>
    <col min="16134" max="16134" width="9.421875" style="1" bestFit="1" customWidth="1"/>
    <col min="16135" max="16136" width="9.7109375" style="1" bestFit="1" customWidth="1"/>
    <col min="16137" max="16141" width="9.421875" style="1" bestFit="1" customWidth="1"/>
    <col min="16142" max="16142" width="9.7109375" style="1" bestFit="1" customWidth="1"/>
    <col min="16143" max="16143" width="11.421875" style="1" bestFit="1" customWidth="1"/>
    <col min="16144" max="16155" width="9.28125" style="1" bestFit="1" customWidth="1"/>
    <col min="16156" max="16156" width="11.421875" style="1" bestFit="1" customWidth="1"/>
    <col min="16157" max="16381" width="8.8515625" style="1" customWidth="1"/>
    <col min="16382" max="16384" width="9.140625" style="1" customWidth="1"/>
  </cols>
  <sheetData>
    <row r="1" spans="2:10" ht="17.25">
      <c r="B1" s="125" t="s">
        <v>0</v>
      </c>
      <c r="C1" s="125"/>
      <c r="D1" s="125"/>
      <c r="E1" s="125"/>
      <c r="F1" s="125"/>
      <c r="G1" s="125"/>
      <c r="H1" s="84"/>
      <c r="I1" s="84"/>
      <c r="J1" s="84"/>
    </row>
    <row r="2" spans="2:10" s="2" customFormat="1" ht="17.25">
      <c r="B2" s="125" t="s">
        <v>1</v>
      </c>
      <c r="C2" s="125"/>
      <c r="D2" s="125"/>
      <c r="E2" s="125"/>
      <c r="F2" s="125"/>
      <c r="G2" s="125"/>
      <c r="H2" s="84"/>
      <c r="I2" s="84"/>
      <c r="J2" s="84"/>
    </row>
    <row r="3" spans="2:10" s="2" customFormat="1" ht="15.75">
      <c r="B3" s="84"/>
      <c r="C3" s="84"/>
      <c r="D3" s="84"/>
      <c r="E3" s="84"/>
      <c r="F3" s="84"/>
      <c r="G3" s="84"/>
      <c r="H3" s="42"/>
      <c r="I3" s="126" t="s">
        <v>2</v>
      </c>
      <c r="J3" s="126"/>
    </row>
    <row r="4" spans="2:15" s="2" customFormat="1" ht="19.5" thickBot="1">
      <c r="B4" s="3" t="s">
        <v>3</v>
      </c>
      <c r="C4" s="4"/>
      <c r="D4" s="4"/>
      <c r="E4" s="4"/>
      <c r="F4" s="5"/>
      <c r="G4" s="5"/>
      <c r="H4" s="42"/>
      <c r="I4" s="6" t="s">
        <v>4</v>
      </c>
      <c r="J4" s="6"/>
      <c r="O4" s="7"/>
    </row>
    <row r="5" spans="2:15" s="14" customFormat="1" ht="62.45" customHeight="1">
      <c r="B5" s="8"/>
      <c r="C5" s="9" t="s">
        <v>5</v>
      </c>
      <c r="D5" s="10" t="s">
        <v>6</v>
      </c>
      <c r="E5" s="11" t="s">
        <v>7</v>
      </c>
      <c r="F5" s="12" t="s">
        <v>8</v>
      </c>
      <c r="G5" s="9" t="s">
        <v>9</v>
      </c>
      <c r="H5" s="85"/>
      <c r="I5" s="13" t="s">
        <v>10</v>
      </c>
      <c r="J5" s="13" t="s">
        <v>11</v>
      </c>
      <c r="O5" s="15"/>
    </row>
    <row r="6" spans="2:15" s="2" customFormat="1" ht="15">
      <c r="B6" s="16" t="s">
        <v>12</v>
      </c>
      <c r="C6" s="17"/>
      <c r="D6" s="18"/>
      <c r="E6" s="19"/>
      <c r="F6" s="20"/>
      <c r="G6" s="17"/>
      <c r="H6" s="86"/>
      <c r="I6" s="21"/>
      <c r="J6" s="21"/>
      <c r="O6" s="7"/>
    </row>
    <row r="7" spans="2:28" s="2" customFormat="1" ht="15">
      <c r="B7" s="22" t="s">
        <v>13</v>
      </c>
      <c r="C7" s="23">
        <f>C55</f>
        <v>18618016.56</v>
      </c>
      <c r="D7" s="24">
        <v>-4000000</v>
      </c>
      <c r="E7" s="25">
        <f aca="true" t="shared" si="0" ref="E7:E12">C7+D7</f>
        <v>14618016.559999999</v>
      </c>
      <c r="F7" s="26">
        <v>0</v>
      </c>
      <c r="G7" s="27">
        <f>F7</f>
        <v>0</v>
      </c>
      <c r="H7" s="86"/>
      <c r="I7" s="21"/>
      <c r="J7" s="21"/>
      <c r="K7" s="1"/>
      <c r="L7" s="1"/>
      <c r="M7" s="1"/>
      <c r="N7" s="1"/>
      <c r="O7" s="1"/>
      <c r="P7" s="1"/>
      <c r="Q7" s="1"/>
      <c r="R7" s="1"/>
      <c r="S7" s="1"/>
      <c r="T7" s="1"/>
      <c r="U7" s="1"/>
      <c r="V7" s="1"/>
      <c r="W7" s="1"/>
      <c r="X7" s="1"/>
      <c r="Y7" s="1"/>
      <c r="Z7" s="1"/>
      <c r="AA7" s="1"/>
      <c r="AB7" s="1"/>
    </row>
    <row r="8" spans="2:28" s="2" customFormat="1" ht="15">
      <c r="B8" s="28" t="s">
        <v>14</v>
      </c>
      <c r="C8" s="23">
        <f>-C25-C7-C10</f>
        <v>9506553.540000014</v>
      </c>
      <c r="D8" s="24">
        <f>'[1]CAP Q119'!F58</f>
        <v>-2030146</v>
      </c>
      <c r="E8" s="25">
        <f t="shared" si="0"/>
        <v>7476407.540000014</v>
      </c>
      <c r="F8" s="26">
        <v>0</v>
      </c>
      <c r="G8" s="27">
        <v>0</v>
      </c>
      <c r="H8" s="42"/>
      <c r="I8" s="21" t="str">
        <f>_xlfn.IFERROR(#REF!/C8,"")</f>
        <v/>
      </c>
      <c r="J8" s="21" t="str">
        <f>_xlfn.IFERROR(#REF!/E8,"")</f>
        <v/>
      </c>
      <c r="K8" s="1"/>
      <c r="L8" s="1"/>
      <c r="M8" s="1"/>
      <c r="N8" s="1"/>
      <c r="O8" s="1"/>
      <c r="P8" s="1"/>
      <c r="Q8" s="1"/>
      <c r="R8" s="1"/>
      <c r="S8" s="1"/>
      <c r="T8" s="1"/>
      <c r="U8" s="1"/>
      <c r="V8" s="1"/>
      <c r="W8" s="1"/>
      <c r="X8" s="1"/>
      <c r="Y8" s="1"/>
      <c r="Z8" s="1"/>
      <c r="AA8" s="1"/>
      <c r="AB8" s="1"/>
    </row>
    <row r="9" spans="2:28" s="2" customFormat="1" ht="15">
      <c r="B9" s="28" t="s">
        <v>15</v>
      </c>
      <c r="C9" s="23">
        <v>0</v>
      </c>
      <c r="D9" s="24">
        <v>-4893249</v>
      </c>
      <c r="E9" s="25">
        <f t="shared" si="0"/>
        <v>-4893249</v>
      </c>
      <c r="F9" s="26">
        <v>0</v>
      </c>
      <c r="G9" s="27">
        <v>0</v>
      </c>
      <c r="H9" s="42"/>
      <c r="I9" s="21"/>
      <c r="J9" s="21"/>
      <c r="K9" s="1"/>
      <c r="L9" s="1"/>
      <c r="M9" s="1"/>
      <c r="N9" s="1"/>
      <c r="O9" s="1"/>
      <c r="P9" s="1"/>
      <c r="Q9" s="1"/>
      <c r="R9" s="1"/>
      <c r="S9" s="1"/>
      <c r="T9" s="1"/>
      <c r="U9" s="1"/>
      <c r="V9" s="1"/>
      <c r="W9" s="1"/>
      <c r="X9" s="1"/>
      <c r="Y9" s="1"/>
      <c r="Z9" s="1"/>
      <c r="AA9" s="1"/>
      <c r="AB9" s="1"/>
    </row>
    <row r="10" spans="2:28" s="2" customFormat="1" ht="15">
      <c r="B10" s="28" t="s">
        <v>16</v>
      </c>
      <c r="C10" s="27">
        <f>'[1]Bond'!H34+'[1]Bond'!F34</f>
        <v>18563759.94</v>
      </c>
      <c r="D10" s="24">
        <v>0</v>
      </c>
      <c r="E10" s="25">
        <f t="shared" si="0"/>
        <v>18563759.94</v>
      </c>
      <c r="F10" s="26">
        <v>0</v>
      </c>
      <c r="G10" s="27">
        <v>0</v>
      </c>
      <c r="H10" s="42"/>
      <c r="I10" s="21"/>
      <c r="J10" s="21"/>
      <c r="K10" s="1"/>
      <c r="L10" s="1"/>
      <c r="M10" s="1"/>
      <c r="N10" s="1"/>
      <c r="O10" s="1"/>
      <c r="P10" s="1"/>
      <c r="Q10" s="1"/>
      <c r="R10" s="1"/>
      <c r="S10" s="1"/>
      <c r="T10" s="1"/>
      <c r="U10" s="1"/>
      <c r="V10" s="1"/>
      <c r="W10" s="1"/>
      <c r="X10" s="1"/>
      <c r="Y10" s="1"/>
      <c r="Z10" s="1"/>
      <c r="AA10" s="1"/>
      <c r="AB10" s="1"/>
    </row>
    <row r="11" spans="2:28" s="2" customFormat="1" ht="15">
      <c r="B11" s="22" t="s">
        <v>17</v>
      </c>
      <c r="C11" s="27">
        <v>0</v>
      </c>
      <c r="D11" s="24">
        <f>-E43</f>
        <v>22743423</v>
      </c>
      <c r="E11" s="25">
        <f t="shared" si="0"/>
        <v>22743423</v>
      </c>
      <c r="F11" s="26">
        <v>0</v>
      </c>
      <c r="G11" s="29">
        <v>0</v>
      </c>
      <c r="H11" s="86"/>
      <c r="I11" s="21" t="str">
        <f>_xlfn.IFERROR(#REF!/C11,"")</f>
        <v/>
      </c>
      <c r="J11" s="21" t="str">
        <f>_xlfn.IFERROR(#REF!/E11,"")</f>
        <v/>
      </c>
      <c r="K11" s="1"/>
      <c r="L11" s="1"/>
      <c r="M11" s="1"/>
      <c r="N11" s="1"/>
      <c r="O11" s="1"/>
      <c r="P11" s="1"/>
      <c r="Q11" s="1"/>
      <c r="R11" s="1"/>
      <c r="S11" s="1"/>
      <c r="T11" s="1"/>
      <c r="U11" s="1"/>
      <c r="V11" s="1"/>
      <c r="W11" s="1"/>
      <c r="X11" s="1"/>
      <c r="Y11" s="1"/>
      <c r="Z11" s="1"/>
      <c r="AA11" s="1"/>
      <c r="AB11" s="1"/>
    </row>
    <row r="12" spans="2:15" s="2" customFormat="1" ht="15">
      <c r="B12" s="22" t="s">
        <v>18</v>
      </c>
      <c r="C12" s="27">
        <v>0</v>
      </c>
      <c r="D12" s="24">
        <f>'[1]CAP Q119'!F57</f>
        <v>5400000</v>
      </c>
      <c r="E12" s="25">
        <f t="shared" si="0"/>
        <v>5400000</v>
      </c>
      <c r="F12" s="26">
        <v>0</v>
      </c>
      <c r="G12" s="29">
        <v>0</v>
      </c>
      <c r="H12" s="86"/>
      <c r="I12" s="21"/>
      <c r="J12" s="21" t="str">
        <f>_xlfn.IFERROR(#REF!/E12,"")</f>
        <v/>
      </c>
      <c r="K12" s="30"/>
      <c r="L12" s="30"/>
      <c r="M12" s="30"/>
      <c r="N12" s="30"/>
      <c r="O12" s="30"/>
    </row>
    <row r="13" spans="2:15" s="2" customFormat="1" ht="7.15" customHeight="1">
      <c r="B13" s="22"/>
      <c r="C13" s="27"/>
      <c r="D13" s="24"/>
      <c r="E13" s="25"/>
      <c r="F13" s="26"/>
      <c r="G13" s="29"/>
      <c r="H13" s="86"/>
      <c r="I13" s="21"/>
      <c r="J13" s="21"/>
      <c r="K13" s="30"/>
      <c r="L13" s="30"/>
      <c r="M13" s="30"/>
      <c r="N13" s="30"/>
      <c r="O13" s="30"/>
    </row>
    <row r="14" spans="2:15" s="2" customFormat="1" ht="15">
      <c r="B14" s="87" t="s">
        <v>19</v>
      </c>
      <c r="C14" s="69">
        <f>SUM(C7:C12)</f>
        <v>46688330.040000014</v>
      </c>
      <c r="D14" s="88">
        <f>SUM(D7:D12)</f>
        <v>17220028</v>
      </c>
      <c r="E14" s="89">
        <f>SUM(E7:E12)</f>
        <v>63908358.040000014</v>
      </c>
      <c r="F14" s="90">
        <f>SUM(F7:F12)</f>
        <v>0</v>
      </c>
      <c r="G14" s="69">
        <f>SUM(G7:G12)</f>
        <v>0</v>
      </c>
      <c r="H14" s="42"/>
      <c r="I14" s="31">
        <f>_xlfn.IFERROR(C36/D14,"")</f>
        <v>1.7325213118120364</v>
      </c>
      <c r="J14" s="31">
        <f>_xlfn.IFERROR(E36/E14,"")</f>
        <v>0.7086763457708136</v>
      </c>
      <c r="K14" s="30"/>
      <c r="L14" s="30"/>
      <c r="M14" s="30"/>
      <c r="N14" s="30"/>
      <c r="O14" s="30"/>
    </row>
    <row r="15" spans="2:15" ht="15">
      <c r="B15" s="16" t="s">
        <v>20</v>
      </c>
      <c r="C15" s="27"/>
      <c r="D15" s="24"/>
      <c r="E15" s="25"/>
      <c r="F15" s="26"/>
      <c r="G15" s="27"/>
      <c r="H15" s="86"/>
      <c r="I15" s="21"/>
      <c r="J15" s="21"/>
      <c r="K15" s="32"/>
      <c r="L15" s="32"/>
      <c r="M15" s="32"/>
      <c r="N15" s="32"/>
      <c r="O15" s="32"/>
    </row>
    <row r="16" spans="2:28" ht="15">
      <c r="B16" s="22" t="s">
        <v>21</v>
      </c>
      <c r="C16" s="27">
        <f>-'[1]Pivot'!D76</f>
        <v>-28014522.780000005</v>
      </c>
      <c r="D16" s="24">
        <f>-'[1]CAP 20192020 Adopted'!F22-'[1]CAP 20192020 Adopted'!F37-'[1]CAP 20192020 Adopted'!F40</f>
        <v>-22743423</v>
      </c>
      <c r="E16" s="25">
        <f aca="true" t="shared" si="1" ref="E16:E23">C16+D16</f>
        <v>-50757945.78</v>
      </c>
      <c r="F16" s="26">
        <v>0</v>
      </c>
      <c r="G16" s="27">
        <f>F16</f>
        <v>0</v>
      </c>
      <c r="H16" s="86"/>
      <c r="I16" s="21">
        <f>_xlfn.IFERROR(C38/C16,"")</f>
        <v>0.5019417617935948</v>
      </c>
      <c r="J16" s="21">
        <f>_xlfn.IFERROR(E38/E16,"")</f>
        <v>0.47542965439528473</v>
      </c>
      <c r="K16" s="32"/>
      <c r="L16" s="32"/>
      <c r="M16" s="32"/>
      <c r="N16" s="32"/>
      <c r="O16" s="32"/>
      <c r="P16" s="2"/>
      <c r="Q16" s="2"/>
      <c r="R16" s="2"/>
      <c r="S16" s="2"/>
      <c r="T16" s="2"/>
      <c r="U16" s="2"/>
      <c r="V16" s="2"/>
      <c r="W16" s="2"/>
      <c r="X16" s="2"/>
      <c r="Y16" s="2"/>
      <c r="Z16" s="2"/>
      <c r="AA16" s="2"/>
      <c r="AB16" s="2"/>
    </row>
    <row r="17" spans="2:15" ht="15">
      <c r="B17" s="22" t="s">
        <v>22</v>
      </c>
      <c r="C17" s="27">
        <f>-'[1]Pivot'!D77</f>
        <v>-4578640.409999999</v>
      </c>
      <c r="D17" s="24">
        <v>0</v>
      </c>
      <c r="E17" s="25">
        <f t="shared" si="1"/>
        <v>-4578640.409999999</v>
      </c>
      <c r="F17" s="26">
        <v>0</v>
      </c>
      <c r="G17" s="27">
        <v>0</v>
      </c>
      <c r="H17" s="86"/>
      <c r="I17" s="21">
        <f>_xlfn.IFERROR(C39/C17,"")</f>
        <v>0.7772010905743961</v>
      </c>
      <c r="J17" s="21">
        <f>_xlfn.IFERROR(E39/E17,"")</f>
        <v>0.5124600448804408</v>
      </c>
      <c r="K17" s="32"/>
      <c r="L17" s="32"/>
      <c r="M17" s="32"/>
      <c r="N17" s="32"/>
      <c r="O17" s="32"/>
    </row>
    <row r="18" spans="2:15" ht="15">
      <c r="B18" s="22" t="s">
        <v>23</v>
      </c>
      <c r="C18" s="29">
        <f>-'[1]Pivot'!D79</f>
        <v>-6010197.0600000005</v>
      </c>
      <c r="D18" s="24">
        <v>0</v>
      </c>
      <c r="E18" s="25">
        <f t="shared" si="1"/>
        <v>-6010197.0600000005</v>
      </c>
      <c r="F18" s="26">
        <v>0</v>
      </c>
      <c r="G18" s="29">
        <v>0</v>
      </c>
      <c r="I18" s="21" t="str">
        <f>_xlfn.IFERROR(#REF!/C18,"")</f>
        <v/>
      </c>
      <c r="J18" s="21" t="str">
        <f>_xlfn.IFERROR(#REF!/E18,"")</f>
        <v/>
      </c>
      <c r="K18" s="33"/>
      <c r="L18" s="33"/>
      <c r="M18" s="33"/>
      <c r="N18" s="33"/>
      <c r="O18" s="32"/>
    </row>
    <row r="19" spans="2:15" ht="15">
      <c r="B19" s="22" t="s">
        <v>24</v>
      </c>
      <c r="C19" s="29">
        <f>-'[1]Pivot'!D78</f>
        <v>-5937448.54</v>
      </c>
      <c r="D19" s="24">
        <v>0</v>
      </c>
      <c r="E19" s="25">
        <f t="shared" si="1"/>
        <v>-5937448.54</v>
      </c>
      <c r="F19" s="26">
        <v>0</v>
      </c>
      <c r="G19" s="29">
        <v>0</v>
      </c>
      <c r="I19" s="21"/>
      <c r="J19" s="21"/>
      <c r="K19" s="33"/>
      <c r="L19" s="33"/>
      <c r="M19" s="33"/>
      <c r="N19" s="33"/>
      <c r="O19" s="32"/>
    </row>
    <row r="20" spans="2:15" ht="15">
      <c r="B20" s="22" t="s">
        <v>25</v>
      </c>
      <c r="C20" s="29">
        <f>-'[1]Pivot'!D80</f>
        <v>-2147521.2500000102</v>
      </c>
      <c r="D20" s="24">
        <v>0</v>
      </c>
      <c r="E20" s="25">
        <f t="shared" si="1"/>
        <v>-2147521.2500000102</v>
      </c>
      <c r="F20" s="26">
        <v>0</v>
      </c>
      <c r="G20" s="29">
        <v>0</v>
      </c>
      <c r="I20" s="21"/>
      <c r="J20" s="21"/>
      <c r="K20" s="33"/>
      <c r="L20" s="33"/>
      <c r="M20" s="33"/>
      <c r="N20" s="33"/>
      <c r="O20" s="32"/>
    </row>
    <row r="21" spans="2:15" ht="15">
      <c r="B21" s="22" t="s">
        <v>26</v>
      </c>
      <c r="C21" s="29">
        <v>0</v>
      </c>
      <c r="D21" s="24">
        <f>-'[1]CAP 20192020 Adopted'!F47</f>
        <v>4219813</v>
      </c>
      <c r="E21" s="25">
        <f t="shared" si="1"/>
        <v>4219813</v>
      </c>
      <c r="F21" s="26">
        <v>0</v>
      </c>
      <c r="G21" s="29">
        <v>0</v>
      </c>
      <c r="I21" s="21"/>
      <c r="J21" s="21"/>
      <c r="K21" s="33"/>
      <c r="L21" s="33"/>
      <c r="M21" s="33"/>
      <c r="N21" s="33"/>
      <c r="O21" s="32"/>
    </row>
    <row r="22" spans="2:15" ht="15">
      <c r="B22" s="22" t="s">
        <v>27</v>
      </c>
      <c r="C22" s="29">
        <v>0</v>
      </c>
      <c r="D22" s="24">
        <f>-'[1]CAP Q119'!F59</f>
        <v>-6401212</v>
      </c>
      <c r="E22" s="25">
        <f t="shared" si="1"/>
        <v>-6401212</v>
      </c>
      <c r="F22" s="26">
        <v>0</v>
      </c>
      <c r="G22" s="29">
        <v>0</v>
      </c>
      <c r="I22" s="21"/>
      <c r="J22" s="21">
        <f>_xlfn.IFERROR(E46/E22,"")</f>
        <v>9.050434238078664</v>
      </c>
      <c r="K22" s="33"/>
      <c r="L22" s="33"/>
      <c r="M22" s="33"/>
      <c r="N22" s="33"/>
      <c r="O22" s="32"/>
    </row>
    <row r="23" spans="2:15" ht="15">
      <c r="B23" s="22" t="s">
        <v>28</v>
      </c>
      <c r="C23" s="29">
        <v>0</v>
      </c>
      <c r="D23" s="24">
        <f>(-251992-848152-31665-5099748-101564-493552-11634-94716-34924-736847)*-1</f>
        <v>7704794</v>
      </c>
      <c r="E23" s="25">
        <f t="shared" si="1"/>
        <v>7704794</v>
      </c>
      <c r="F23" s="26">
        <v>0</v>
      </c>
      <c r="G23" s="29">
        <v>0</v>
      </c>
      <c r="I23" s="21"/>
      <c r="J23" s="21"/>
      <c r="K23" s="33"/>
      <c r="L23" s="33"/>
      <c r="M23" s="33"/>
      <c r="N23" s="33"/>
      <c r="O23" s="32"/>
    </row>
    <row r="24" spans="2:28" ht="7.9" customHeight="1">
      <c r="B24" s="34"/>
      <c r="C24" s="35"/>
      <c r="D24" s="36"/>
      <c r="E24" s="37"/>
      <c r="F24" s="38"/>
      <c r="G24" s="35"/>
      <c r="H24" s="86"/>
      <c r="I24" s="21"/>
      <c r="J24" s="21" t="str">
        <f>_xlfn.IFERROR(#REF!/E24,"")</f>
        <v/>
      </c>
      <c r="K24" s="39"/>
      <c r="L24" s="39"/>
      <c r="M24" s="39"/>
      <c r="N24" s="39"/>
      <c r="O24" s="39"/>
      <c r="P24" s="2"/>
      <c r="Q24" s="2"/>
      <c r="R24" s="2"/>
      <c r="S24" s="2"/>
      <c r="T24" s="2"/>
      <c r="U24" s="2"/>
      <c r="V24" s="2"/>
      <c r="W24" s="2"/>
      <c r="X24" s="2"/>
      <c r="Y24" s="2"/>
      <c r="Z24" s="2"/>
      <c r="AA24" s="2"/>
      <c r="AB24" s="2"/>
    </row>
    <row r="25" spans="2:28" ht="15.75" thickBot="1">
      <c r="B25" s="91" t="s">
        <v>29</v>
      </c>
      <c r="C25" s="92">
        <f>SUM(C16:C24)</f>
        <v>-46688330.040000014</v>
      </c>
      <c r="D25" s="93">
        <f>SUM(D16:D24)</f>
        <v>-17220028</v>
      </c>
      <c r="E25" s="94">
        <f>SUM(E16:E24)</f>
        <v>-63908358.04000002</v>
      </c>
      <c r="F25" s="95">
        <f>SUM(F16:F24)</f>
        <v>0</v>
      </c>
      <c r="G25" s="92">
        <f>SUM(G16:G24)</f>
        <v>0</v>
      </c>
      <c r="H25" s="86"/>
      <c r="I25" s="31">
        <f>_xlfn.IFERROR(C46/C25,"")</f>
        <v>0.6863891411953357</v>
      </c>
      <c r="J25" s="31">
        <f>_xlfn.IFERROR(E46/E25,"")</f>
        <v>0.9065128572657033</v>
      </c>
      <c r="K25" s="39"/>
      <c r="L25" s="39">
        <f>E14+E25</f>
        <v>0</v>
      </c>
      <c r="M25" s="39"/>
      <c r="N25" s="39"/>
      <c r="O25" s="39"/>
      <c r="P25" s="2"/>
      <c r="Q25" s="2"/>
      <c r="R25" s="2"/>
      <c r="S25" s="2"/>
      <c r="T25" s="2"/>
      <c r="U25" s="2"/>
      <c r="V25" s="2"/>
      <c r="W25" s="2"/>
      <c r="X25" s="2"/>
      <c r="Y25" s="2"/>
      <c r="Z25" s="2"/>
      <c r="AA25" s="2"/>
      <c r="AB25" s="2"/>
    </row>
    <row r="26" spans="2:28" ht="15">
      <c r="B26" s="40"/>
      <c r="C26" s="41"/>
      <c r="D26" s="41"/>
      <c r="E26" s="41"/>
      <c r="F26" s="41"/>
      <c r="G26" s="41"/>
      <c r="H26" s="86"/>
      <c r="K26" s="39"/>
      <c r="L26" s="39"/>
      <c r="M26" s="39"/>
      <c r="N26" s="39"/>
      <c r="O26" s="39"/>
      <c r="P26" s="2"/>
      <c r="Q26" s="2"/>
      <c r="R26" s="2"/>
      <c r="S26" s="2"/>
      <c r="T26" s="2"/>
      <c r="U26" s="2"/>
      <c r="V26" s="2"/>
      <c r="W26" s="2"/>
      <c r="X26" s="2"/>
      <c r="Y26" s="2"/>
      <c r="Z26" s="2"/>
      <c r="AA26" s="2"/>
      <c r="AB26" s="2"/>
    </row>
    <row r="27" spans="2:15" s="2" customFormat="1" ht="19.5" thickBot="1">
      <c r="B27" s="3" t="s">
        <v>30</v>
      </c>
      <c r="C27" s="84"/>
      <c r="D27" s="84"/>
      <c r="E27" s="84"/>
      <c r="F27" s="84"/>
      <c r="G27" s="84"/>
      <c r="H27" s="86"/>
      <c r="I27" s="43" t="s">
        <v>31</v>
      </c>
      <c r="J27" s="44"/>
      <c r="O27" s="7"/>
    </row>
    <row r="28" spans="2:15" s="14" customFormat="1" ht="60">
      <c r="B28" s="45"/>
      <c r="C28" s="46" t="s">
        <v>32</v>
      </c>
      <c r="D28" s="96" t="s">
        <v>33</v>
      </c>
      <c r="E28" s="114" t="s">
        <v>34</v>
      </c>
      <c r="F28" s="105" t="s">
        <v>8</v>
      </c>
      <c r="G28" s="46" t="s">
        <v>35</v>
      </c>
      <c r="H28" s="85"/>
      <c r="I28" s="47" t="s">
        <v>36</v>
      </c>
      <c r="J28" s="47" t="s">
        <v>37</v>
      </c>
      <c r="O28" s="15"/>
    </row>
    <row r="29" spans="2:10" ht="15">
      <c r="B29" s="48" t="s">
        <v>38</v>
      </c>
      <c r="C29" s="49">
        <v>20912368</v>
      </c>
      <c r="D29" s="97">
        <f>C55</f>
        <v>18618016.56</v>
      </c>
      <c r="E29" s="115">
        <f>C55</f>
        <v>18618016.56</v>
      </c>
      <c r="F29" s="106">
        <f>E55</f>
        <v>5974609.950000003</v>
      </c>
      <c r="G29" s="50">
        <f>F55</f>
        <v>2.7939677238464355E-09</v>
      </c>
      <c r="I29" s="51" t="str">
        <f>_xlfn.IFERROR(#REF!/C29,"")</f>
        <v/>
      </c>
      <c r="J29" s="52">
        <f>_xlfn.IFERROR(D29/E29,"")</f>
        <v>1</v>
      </c>
    </row>
    <row r="30" spans="2:12" ht="15">
      <c r="B30" s="53" t="s">
        <v>39</v>
      </c>
      <c r="C30" s="54"/>
      <c r="D30" s="98"/>
      <c r="E30" s="116"/>
      <c r="F30" s="107"/>
      <c r="G30" s="55"/>
      <c r="I30" s="56"/>
      <c r="J30" s="56"/>
      <c r="K30" s="57">
        <f>E29</f>
        <v>18618016.56</v>
      </c>
      <c r="L30" s="58"/>
    </row>
    <row r="31" spans="2:12" ht="15">
      <c r="B31" s="59" t="s">
        <v>14</v>
      </c>
      <c r="C31" s="54">
        <f>-GETPIVOTDATA("Actuals",'[1]GL10 Pivot'!$A$6)-C32-C34</f>
        <v>13238099.869999997</v>
      </c>
      <c r="D31" s="99">
        <v>0</v>
      </c>
      <c r="E31" s="117">
        <f>-K34</f>
        <v>8544249.260000005</v>
      </c>
      <c r="F31" s="108">
        <v>0</v>
      </c>
      <c r="G31" s="54">
        <v>0</v>
      </c>
      <c r="I31" s="60"/>
      <c r="J31" s="60"/>
      <c r="K31" s="57">
        <f>E33</f>
        <v>36746092.38</v>
      </c>
      <c r="L31" s="58"/>
    </row>
    <row r="32" spans="2:12" ht="15">
      <c r="B32" s="59" t="s">
        <v>40</v>
      </c>
      <c r="C32" s="54">
        <f>-GETPIVOTDATA("Actuals",'[1]GL10 Pivot'!$A$6,"Account",39113,"Account Description","GENERAL OBLIGATION BONDS")-GETPIVOTDATA("Actuals",'[1]GL10 Pivot'!$A$6,"Account",39115,"Account Description","PREMIUM ON BONDS SOLD")-GETPIVOTDATA("Actuals",'[1]GL10 Pivot'!$A$84,"Account",57105,"Account Description","BOND SALE EXPENSE")</f>
        <v>16178169.86</v>
      </c>
      <c r="D32" s="99">
        <v>0</v>
      </c>
      <c r="E32" s="117">
        <v>0</v>
      </c>
      <c r="F32" s="108">
        <v>0</v>
      </c>
      <c r="G32" s="54">
        <v>0</v>
      </c>
      <c r="I32" s="60"/>
      <c r="J32" s="60"/>
      <c r="K32" s="61">
        <f>F46</f>
        <v>-5974609.95</v>
      </c>
      <c r="L32" s="58"/>
    </row>
    <row r="33" spans="2:12" ht="15">
      <c r="B33" s="59" t="s">
        <v>41</v>
      </c>
      <c r="C33" s="54">
        <v>0</v>
      </c>
      <c r="D33" s="99">
        <v>0</v>
      </c>
      <c r="E33" s="117">
        <f>-E43+'[1]Bond'!F34+'[1]CAP Q119'!F57+C60</f>
        <v>36746092.38</v>
      </c>
      <c r="F33" s="108">
        <v>0</v>
      </c>
      <c r="G33" s="54">
        <v>0</v>
      </c>
      <c r="I33" s="60"/>
      <c r="J33" s="60"/>
      <c r="K33" s="61">
        <f>E46</f>
        <v>-57933748.25</v>
      </c>
      <c r="L33" s="58"/>
    </row>
    <row r="34" spans="2:12" ht="15">
      <c r="B34" s="59" t="s">
        <v>42</v>
      </c>
      <c r="C34" s="54">
        <f>-GETPIVOTDATA("Actuals",'[1]GL10 Pivot'!$A$6,"Account",36111,"Account Description","INVESTMENT INTEREST GROSS")-GETPIVOTDATA("Actuals",'[1]GL10 Pivot'!$A$6,"Account",36117,"Account Description","CASH MANAGEMENT SVCS FEE")-GETPIVOTDATA("Actuals",'[1]GL10 Pivot'!$A$6,"Account",36118,"Account Description","INVEST SERVICE FEE POOL")-GETPIVOTDATA("Actuals",'[1]GL10 Pivot'!$A$6,"Account",36129,"Account Description","REALIZED LOSS-IMPAIRINV")-GETPIVOTDATA("Actuals",'[1]GL10 Pivot'!$A$6,"Account",36134,"Account Description","UNREALIZED LOSS IMPAIRED INVESTMENT")-GETPIVOTDATA("Actuals",'[1]GL10 Pivot'!$A$6,"Account",36190,"Account Description","OTHER INTEREST EARNINGS")</f>
        <v>417795.7699999999</v>
      </c>
      <c r="D34" s="99">
        <v>6826.2</v>
      </c>
      <c r="E34" s="117">
        <v>0</v>
      </c>
      <c r="F34" s="108">
        <v>0</v>
      </c>
      <c r="G34" s="54">
        <v>0</v>
      </c>
      <c r="I34" s="60"/>
      <c r="J34" s="60"/>
      <c r="K34" s="30">
        <f>SUM(K30:K33)</f>
        <v>-8544249.260000005</v>
      </c>
      <c r="L34" s="58"/>
    </row>
    <row r="35" spans="2:15" ht="7.15" customHeight="1">
      <c r="B35" s="59"/>
      <c r="C35" s="54"/>
      <c r="D35" s="99"/>
      <c r="E35" s="117"/>
      <c r="F35" s="108"/>
      <c r="G35" s="54"/>
      <c r="I35" s="62"/>
      <c r="J35" s="60"/>
      <c r="K35" s="30"/>
      <c r="L35" s="58"/>
      <c r="M35" s="33"/>
      <c r="N35" s="30"/>
      <c r="O35" s="30"/>
    </row>
    <row r="36" spans="2:15" ht="15">
      <c r="B36" s="48" t="s">
        <v>19</v>
      </c>
      <c r="C36" s="69">
        <f>SUM(C30:C34)</f>
        <v>29834065.499999996</v>
      </c>
      <c r="D36" s="100">
        <f>SUM(D30:D34)</f>
        <v>6826.2</v>
      </c>
      <c r="E36" s="118">
        <f>SUM(E30:E34)</f>
        <v>45290341.64000001</v>
      </c>
      <c r="F36" s="109">
        <f>SUM(F30:F34)</f>
        <v>0</v>
      </c>
      <c r="G36" s="69">
        <f>SUM(G30:G34)</f>
        <v>0</v>
      </c>
      <c r="I36" s="62" t="str">
        <f>_xlfn.IFERROR(#REF!/C36,"")</f>
        <v/>
      </c>
      <c r="J36" s="60">
        <f>_xlfn.IFERROR(D36/E36,"")</f>
        <v>0.0001507208767436447</v>
      </c>
      <c r="K36" s="30"/>
      <c r="L36" s="58"/>
      <c r="M36" s="33"/>
      <c r="N36" s="30"/>
      <c r="O36" s="30"/>
    </row>
    <row r="37" spans="2:15" ht="15">
      <c r="B37" s="53" t="s">
        <v>43</v>
      </c>
      <c r="C37" s="27"/>
      <c r="D37" s="101"/>
      <c r="E37" s="119"/>
      <c r="F37" s="110"/>
      <c r="G37" s="27"/>
      <c r="I37" s="60"/>
      <c r="J37" s="60"/>
      <c r="K37" s="32"/>
      <c r="L37" s="58"/>
      <c r="M37" s="63"/>
      <c r="N37" s="32"/>
      <c r="O37" s="32"/>
    </row>
    <row r="38" spans="2:15" ht="15">
      <c r="B38" s="59" t="s">
        <v>21</v>
      </c>
      <c r="C38" s="54">
        <v>-14061658.92</v>
      </c>
      <c r="D38" s="101">
        <v>-2196578.78</v>
      </c>
      <c r="E38" s="120">
        <f>-946238.91-13819999.71-2756266-4875506-418001-138191-160501-969273-47856</f>
        <v>-24131832.62</v>
      </c>
      <c r="F38" s="110">
        <f>-52500-2437753</f>
        <v>-2490253</v>
      </c>
      <c r="G38" s="27">
        <v>0</v>
      </c>
      <c r="I38" s="60" t="str">
        <f>_xlfn.IFERROR(#REF!/C38,"")</f>
        <v/>
      </c>
      <c r="J38" s="60">
        <f>_xlfn.IFERROR(D38/E38,"")</f>
        <v>0.09102411800169363</v>
      </c>
      <c r="K38" s="32"/>
      <c r="L38" s="32"/>
      <c r="M38" s="32"/>
      <c r="N38" s="32"/>
      <c r="O38" s="32"/>
    </row>
    <row r="39" spans="2:15" ht="15">
      <c r="B39" s="59" t="s">
        <v>22</v>
      </c>
      <c r="C39" s="54">
        <v>-3558524.32</v>
      </c>
      <c r="D39" s="101">
        <v>-178014</v>
      </c>
      <c r="E39" s="120">
        <f>-903190.27-3473326+2030146</f>
        <v>-2346370.2699999996</v>
      </c>
      <c r="F39" s="110">
        <v>0</v>
      </c>
      <c r="G39" s="27">
        <v>0</v>
      </c>
      <c r="I39" s="60" t="str">
        <f>_xlfn.IFERROR(#REF!/C39,"")</f>
        <v/>
      </c>
      <c r="J39" s="60">
        <f>_xlfn.IFERROR(D39/E39,"")</f>
        <v>0.07586782115168891</v>
      </c>
      <c r="K39" s="32"/>
      <c r="L39" s="32"/>
      <c r="M39" s="32"/>
      <c r="N39" s="32"/>
      <c r="O39" s="32"/>
    </row>
    <row r="40" spans="2:15" ht="15">
      <c r="B40" s="59" t="s">
        <v>23</v>
      </c>
      <c r="C40" s="54">
        <v>-1774627.58</v>
      </c>
      <c r="D40" s="101">
        <v>-37069</v>
      </c>
      <c r="E40" s="120">
        <v>-799252.95</v>
      </c>
      <c r="F40" s="110">
        <v>0</v>
      </c>
      <c r="G40" s="27">
        <v>0</v>
      </c>
      <c r="I40" s="60"/>
      <c r="J40" s="60"/>
      <c r="K40" s="32"/>
      <c r="L40" s="32"/>
      <c r="M40" s="32"/>
      <c r="N40" s="32"/>
      <c r="O40" s="32"/>
    </row>
    <row r="41" spans="2:15" ht="15">
      <c r="B41" s="59" t="s">
        <v>24</v>
      </c>
      <c r="C41" s="54">
        <v>-11754292.43</v>
      </c>
      <c r="D41" s="101">
        <v>-30347</v>
      </c>
      <c r="E41" s="119">
        <f>-666520.21</f>
        <v>-666520.21</v>
      </c>
      <c r="F41" s="110">
        <v>-141356.95</v>
      </c>
      <c r="G41" s="27">
        <v>0</v>
      </c>
      <c r="I41" s="60"/>
      <c r="J41" s="60"/>
      <c r="K41" s="32"/>
      <c r="L41" s="32"/>
      <c r="M41" s="32"/>
      <c r="N41" s="32"/>
      <c r="O41" s="32"/>
    </row>
    <row r="42" spans="2:15" ht="15">
      <c r="B42" s="59" t="s">
        <v>25</v>
      </c>
      <c r="C42" s="54">
        <v>-897259.51</v>
      </c>
      <c r="D42" s="101">
        <f>-2514721-D38-D39-D40-D41</f>
        <v>-72712.2200000002</v>
      </c>
      <c r="E42" s="119">
        <f>-1411346+221996.8</f>
        <v>-1189349.2</v>
      </c>
      <c r="F42" s="110">
        <v>0</v>
      </c>
      <c r="G42" s="27">
        <v>0</v>
      </c>
      <c r="I42" s="60" t="str">
        <f>_xlfn.IFERROR(#REF!/C42,"")</f>
        <v/>
      </c>
      <c r="J42" s="60">
        <f>_xlfn.IFERROR(D42/E42,"")</f>
        <v>0.06113614067256295</v>
      </c>
      <c r="K42" s="32"/>
      <c r="L42" s="32"/>
      <c r="M42" s="32"/>
      <c r="N42" s="32"/>
      <c r="O42" s="32"/>
    </row>
    <row r="43" spans="2:15" ht="15">
      <c r="B43" s="59" t="s">
        <v>44</v>
      </c>
      <c r="C43" s="54">
        <v>0</v>
      </c>
      <c r="D43" s="101">
        <v>0</v>
      </c>
      <c r="E43" s="119">
        <f>-'[1]CAPSummaryByFund'!L18</f>
        <v>-22743423</v>
      </c>
      <c r="F43" s="110">
        <v>0</v>
      </c>
      <c r="G43" s="27">
        <v>0</v>
      </c>
      <c r="I43" s="60" t="str">
        <f>_xlfn.IFERROR(#REF!/C43,"")</f>
        <v/>
      </c>
      <c r="J43" s="60">
        <f>_xlfn.IFERROR(D43/E43,"")</f>
        <v>0</v>
      </c>
      <c r="K43" s="32"/>
      <c r="L43" s="32"/>
      <c r="M43" s="32"/>
      <c r="N43" s="32"/>
      <c r="O43" s="32"/>
    </row>
    <row r="44" spans="2:15" ht="15">
      <c r="B44" s="59" t="s">
        <v>27</v>
      </c>
      <c r="C44" s="54">
        <v>0</v>
      </c>
      <c r="D44" s="101">
        <v>0</v>
      </c>
      <c r="E44" s="119">
        <f>-'[1]CAP Q119'!F20-'[1]CAP Q119'!F57-F44</f>
        <v>-6057000</v>
      </c>
      <c r="F44" s="110">
        <v>-3343000</v>
      </c>
      <c r="G44" s="27">
        <v>0</v>
      </c>
      <c r="I44" s="62"/>
      <c r="J44" s="60">
        <f>_xlfn.IFERROR(D44/E44,"")</f>
        <v>0</v>
      </c>
      <c r="K44" s="32"/>
      <c r="L44" s="39"/>
      <c r="M44" s="39"/>
      <c r="N44" s="39"/>
      <c r="O44" s="39"/>
    </row>
    <row r="45" spans="2:15" ht="8.45" customHeight="1">
      <c r="B45" s="59"/>
      <c r="C45" s="54"/>
      <c r="D45" s="101"/>
      <c r="E45" s="119"/>
      <c r="F45" s="110"/>
      <c r="G45" s="29"/>
      <c r="I45" s="62"/>
      <c r="J45" s="60"/>
      <c r="K45" s="32"/>
      <c r="L45" s="39"/>
      <c r="M45" s="39"/>
      <c r="N45" s="39"/>
      <c r="O45" s="39"/>
    </row>
    <row r="46" spans="2:15" ht="15">
      <c r="B46" s="48" t="s">
        <v>45</v>
      </c>
      <c r="C46" s="69">
        <f aca="true" t="shared" si="2" ref="C46:G46">SUM(C38:C44)</f>
        <v>-32046362.76</v>
      </c>
      <c r="D46" s="100">
        <f t="shared" si="2"/>
        <v>-2514721</v>
      </c>
      <c r="E46" s="118">
        <f>SUM(E38:E44)</f>
        <v>-57933748.25</v>
      </c>
      <c r="F46" s="109">
        <f t="shared" si="2"/>
        <v>-5974609.95</v>
      </c>
      <c r="G46" s="69">
        <f t="shared" si="2"/>
        <v>0</v>
      </c>
      <c r="I46" s="52" t="str">
        <f>_xlfn.IFERROR(#REF!/C46,"")</f>
        <v/>
      </c>
      <c r="J46" s="52">
        <f>_xlfn.IFERROR(D46/E46,"")</f>
        <v>0.0434068410203374</v>
      </c>
      <c r="K46" s="32"/>
      <c r="L46" s="64"/>
      <c r="M46" s="39"/>
      <c r="N46" s="39"/>
      <c r="O46" s="39"/>
    </row>
    <row r="47" spans="2:15" ht="15">
      <c r="B47" s="53" t="s">
        <v>46</v>
      </c>
      <c r="C47" s="65"/>
      <c r="D47" s="102"/>
      <c r="E47" s="121"/>
      <c r="F47" s="111"/>
      <c r="G47" s="65"/>
      <c r="I47" s="60"/>
      <c r="J47" s="60"/>
      <c r="K47" s="39"/>
      <c r="L47" s="39"/>
      <c r="M47" s="39"/>
      <c r="N47" s="39"/>
      <c r="O47" s="39"/>
    </row>
    <row r="48" spans="2:15" ht="15" hidden="1" outlineLevel="1">
      <c r="B48" s="66" t="s">
        <v>47</v>
      </c>
      <c r="C48" s="27"/>
      <c r="D48" s="101">
        <v>0</v>
      </c>
      <c r="E48" s="119">
        <v>0</v>
      </c>
      <c r="F48" s="112"/>
      <c r="G48" s="67"/>
      <c r="I48" s="60" t="str">
        <f>_xlfn.IFERROR(#REF!/C48,"")</f>
        <v/>
      </c>
      <c r="J48" s="60" t="str">
        <f>_xlfn.IFERROR(D48/E48,"")</f>
        <v/>
      </c>
      <c r="K48" s="39"/>
      <c r="L48" s="39"/>
      <c r="M48" s="39"/>
      <c r="N48" s="39"/>
      <c r="O48" s="39"/>
    </row>
    <row r="49" spans="2:15" ht="14.45" customHeight="1" hidden="1" outlineLevel="1">
      <c r="B49" s="66" t="s">
        <v>48</v>
      </c>
      <c r="C49" s="27"/>
      <c r="D49" s="101"/>
      <c r="E49" s="119"/>
      <c r="F49" s="112"/>
      <c r="G49" s="67"/>
      <c r="I49" s="60"/>
      <c r="J49" s="60"/>
      <c r="K49" s="39"/>
      <c r="L49" s="39"/>
      <c r="M49" s="39"/>
      <c r="N49" s="39"/>
      <c r="O49" s="39"/>
    </row>
    <row r="50" spans="2:15" ht="15" hidden="1" outlineLevel="1">
      <c r="B50" s="66" t="s">
        <v>49</v>
      </c>
      <c r="C50" s="27"/>
      <c r="D50" s="101"/>
      <c r="E50" s="119"/>
      <c r="F50" s="112"/>
      <c r="G50" s="67"/>
      <c r="I50" s="60"/>
      <c r="J50" s="60"/>
      <c r="K50" s="39"/>
      <c r="L50" s="39"/>
      <c r="M50" s="39"/>
      <c r="N50" s="39"/>
      <c r="O50" s="39"/>
    </row>
    <row r="51" spans="2:15" ht="15" hidden="1" outlineLevel="1">
      <c r="B51" s="66" t="s">
        <v>50</v>
      </c>
      <c r="C51" s="27"/>
      <c r="D51" s="101"/>
      <c r="E51" s="119"/>
      <c r="F51" s="112"/>
      <c r="G51" s="67"/>
      <c r="I51" s="60"/>
      <c r="J51" s="60"/>
      <c r="K51" s="39"/>
      <c r="L51" s="39"/>
      <c r="M51" s="39"/>
      <c r="N51" s="39"/>
      <c r="O51" s="39"/>
    </row>
    <row r="52" spans="2:15" ht="15" hidden="1" outlineLevel="1">
      <c r="B52" s="66" t="s">
        <v>51</v>
      </c>
      <c r="C52" s="27"/>
      <c r="D52" s="101"/>
      <c r="E52" s="119"/>
      <c r="F52" s="112"/>
      <c r="G52" s="67"/>
      <c r="I52" s="60"/>
      <c r="J52" s="60"/>
      <c r="K52" s="39"/>
      <c r="L52" s="39"/>
      <c r="M52" s="39"/>
      <c r="N52" s="39"/>
      <c r="O52" s="39"/>
    </row>
    <row r="53" spans="2:15" ht="15" collapsed="1">
      <c r="B53" s="59" t="s">
        <v>52</v>
      </c>
      <c r="C53" s="67">
        <v>-82054.18</v>
      </c>
      <c r="D53" s="103">
        <v>0</v>
      </c>
      <c r="E53" s="122">
        <v>0</v>
      </c>
      <c r="F53" s="112">
        <v>0</v>
      </c>
      <c r="G53" s="67">
        <v>0</v>
      </c>
      <c r="I53" s="62" t="str">
        <f>_xlfn.IFERROR(#REF!/C53,"")</f>
        <v/>
      </c>
      <c r="J53" s="62" t="str">
        <f>_xlfn.IFERROR(D53/E53,"")</f>
        <v/>
      </c>
      <c r="K53" s="30"/>
      <c r="L53" s="30"/>
      <c r="M53" s="30"/>
      <c r="N53" s="30"/>
      <c r="O53" s="68"/>
    </row>
    <row r="54" spans="2:15" ht="15">
      <c r="B54" s="66"/>
      <c r="C54" s="67"/>
      <c r="D54" s="103"/>
      <c r="E54" s="122"/>
      <c r="F54" s="112"/>
      <c r="G54" s="67"/>
      <c r="I54" s="62"/>
      <c r="J54" s="62"/>
      <c r="K54" s="30"/>
      <c r="L54" s="30"/>
      <c r="M54" s="30"/>
      <c r="N54" s="30"/>
      <c r="O54" s="68"/>
    </row>
    <row r="55" spans="2:15" ht="15">
      <c r="B55" s="48" t="s">
        <v>53</v>
      </c>
      <c r="C55" s="69">
        <f>C29+C36+C46+C48+C52+C50+C51+C53</f>
        <v>18618016.56</v>
      </c>
      <c r="D55" s="100">
        <f>D29+D36+D46+SUM(D48:D53)</f>
        <v>16110121.759999998</v>
      </c>
      <c r="E55" s="118">
        <f>E29+E36+E46+SUM(E48:E53)</f>
        <v>5974609.950000003</v>
      </c>
      <c r="F55" s="109">
        <f>F29+F36+F46+SUM(F48:F53)</f>
        <v>2.7939677238464355E-09</v>
      </c>
      <c r="G55" s="69">
        <f>G29+G36+G46+SUM(G48:G53)</f>
        <v>2.7939677238464355E-09</v>
      </c>
      <c r="I55" s="52" t="str">
        <f>_xlfn.IFERROR(#REF!/C55,"")</f>
        <v/>
      </c>
      <c r="J55" s="52">
        <f>_xlfn.IFERROR(D55/E55,"")</f>
        <v>2.696430711765542</v>
      </c>
      <c r="K55" s="30"/>
      <c r="L55" s="30"/>
      <c r="M55" s="30"/>
      <c r="N55" s="30"/>
      <c r="O55" s="68"/>
    </row>
    <row r="56" spans="2:15" ht="15">
      <c r="B56" s="48" t="s">
        <v>54</v>
      </c>
      <c r="C56" s="69">
        <f>-C55-C58-C59-C60</f>
        <v>-13071489.209999999</v>
      </c>
      <c r="D56" s="100">
        <f>-D55</f>
        <v>-16110121.759999998</v>
      </c>
      <c r="E56" s="118">
        <f>-E55-E58-E59-E60</f>
        <v>-5974609.950000003</v>
      </c>
      <c r="F56" s="109">
        <v>0</v>
      </c>
      <c r="G56" s="69">
        <v>0</v>
      </c>
      <c r="I56" s="62" t="str">
        <f>_xlfn.IFERROR(#REF!/C56,"")</f>
        <v/>
      </c>
      <c r="J56" s="70">
        <f>_xlfn.IFERROR(D56/E56,"")</f>
        <v>2.696430711765542</v>
      </c>
      <c r="K56" s="30"/>
      <c r="L56" s="30"/>
      <c r="M56" s="30"/>
      <c r="N56" s="30"/>
      <c r="O56" s="68"/>
    </row>
    <row r="57" spans="2:15" ht="15">
      <c r="B57" s="53" t="s">
        <v>55</v>
      </c>
      <c r="C57" s="27"/>
      <c r="D57" s="101"/>
      <c r="E57" s="119"/>
      <c r="F57" s="112"/>
      <c r="G57" s="67"/>
      <c r="I57" s="60"/>
      <c r="J57" s="60"/>
      <c r="K57" s="30"/>
      <c r="L57" s="30"/>
      <c r="M57" s="30"/>
      <c r="N57" s="30"/>
      <c r="O57" s="68"/>
    </row>
    <row r="58" spans="2:15" ht="15">
      <c r="B58" s="59" t="s">
        <v>56</v>
      </c>
      <c r="C58" s="27">
        <v>-3760000</v>
      </c>
      <c r="D58" s="101">
        <v>0</v>
      </c>
      <c r="E58" s="119">
        <v>0</v>
      </c>
      <c r="F58" s="110">
        <v>0</v>
      </c>
      <c r="G58" s="27">
        <v>0</v>
      </c>
      <c r="I58" s="60" t="str">
        <f>_xlfn.IFERROR(#REF!/C58,"")</f>
        <v/>
      </c>
      <c r="J58" s="60" t="str">
        <f>_xlfn.IFERROR(D58/E58,"")</f>
        <v/>
      </c>
      <c r="K58" s="30"/>
      <c r="L58" s="30"/>
      <c r="M58" s="30"/>
      <c r="N58" s="30"/>
      <c r="O58" s="68"/>
    </row>
    <row r="59" spans="2:15" ht="15">
      <c r="B59" s="59" t="s">
        <v>57</v>
      </c>
      <c r="C59" s="27">
        <f>-'[1]Residual Bal'!B12</f>
        <v>-652636.3499999997</v>
      </c>
      <c r="D59" s="101">
        <v>0</v>
      </c>
      <c r="E59" s="119">
        <v>0</v>
      </c>
      <c r="F59" s="110">
        <v>0</v>
      </c>
      <c r="G59" s="27">
        <v>0</v>
      </c>
      <c r="I59" s="60"/>
      <c r="J59" s="60"/>
      <c r="K59" s="30"/>
      <c r="L59" s="30"/>
      <c r="M59" s="30"/>
      <c r="N59" s="30"/>
      <c r="O59" s="68"/>
    </row>
    <row r="60" spans="2:15" ht="15">
      <c r="B60" s="59" t="s">
        <v>58</v>
      </c>
      <c r="C60" s="27">
        <f>-E78</f>
        <v>-1133891</v>
      </c>
      <c r="D60" s="101">
        <v>0</v>
      </c>
      <c r="E60" s="119">
        <v>0</v>
      </c>
      <c r="F60" s="110">
        <v>0</v>
      </c>
      <c r="G60" s="27">
        <v>0</v>
      </c>
      <c r="I60" s="60"/>
      <c r="J60" s="60"/>
      <c r="K60" s="30"/>
      <c r="L60" s="30"/>
      <c r="M60" s="30"/>
      <c r="N60" s="30"/>
      <c r="O60" s="68"/>
    </row>
    <row r="61" spans="2:15" ht="6.6" customHeight="1">
      <c r="B61" s="66"/>
      <c r="C61" s="27"/>
      <c r="D61" s="101"/>
      <c r="E61" s="119"/>
      <c r="F61" s="112"/>
      <c r="G61" s="67"/>
      <c r="I61" s="62" t="str">
        <f>_xlfn.IFERROR(#REF!/C61,"")</f>
        <v/>
      </c>
      <c r="J61" s="62" t="str">
        <f>_xlfn.IFERROR(D61/E61,"")</f>
        <v/>
      </c>
      <c r="K61" s="30"/>
      <c r="L61" s="30"/>
      <c r="M61" s="30"/>
      <c r="N61" s="30"/>
      <c r="O61" s="68"/>
    </row>
    <row r="62" spans="2:15" ht="15">
      <c r="B62" s="48" t="s">
        <v>59</v>
      </c>
      <c r="C62" s="69">
        <f>SUM(C58:C61)</f>
        <v>-5546527.35</v>
      </c>
      <c r="D62" s="100">
        <f>SUM(D58:D61)</f>
        <v>0</v>
      </c>
      <c r="E62" s="118">
        <f>SUM(E57:E61)</f>
        <v>0</v>
      </c>
      <c r="F62" s="109">
        <f>SUM(F57:F61)</f>
        <v>0</v>
      </c>
      <c r="G62" s="69">
        <f>SUM(G57:G61)</f>
        <v>0</v>
      </c>
      <c r="I62" s="52" t="str">
        <f>_xlfn.IFERROR(#REF!/C62,"")</f>
        <v/>
      </c>
      <c r="J62" s="52" t="str">
        <f>_xlfn.IFERROR(D62/E62,"")</f>
        <v/>
      </c>
      <c r="K62" s="30"/>
      <c r="L62" s="30"/>
      <c r="M62" s="30"/>
      <c r="N62" s="30"/>
      <c r="O62" s="68"/>
    </row>
    <row r="63" spans="2:15" ht="15">
      <c r="B63" s="71" t="s">
        <v>60</v>
      </c>
      <c r="C63" s="72">
        <f>ROUND(ABS(IF(C55+C62+C56&gt;0,0,C55+C62+C56)),0)</f>
        <v>0</v>
      </c>
      <c r="D63" s="104">
        <f>ROUND(ABS(IF(D55+D62+D56&gt;0,0,D55+D62+D56)),0)</f>
        <v>0</v>
      </c>
      <c r="E63" s="123">
        <f>ROUND(ABS(IF(E55+E62+E56&gt;0,0,E55+E62+E56)),0)</f>
        <v>0</v>
      </c>
      <c r="F63" s="113">
        <f>ROUND(ABS(IF(F55+F62+F56&gt;0,0,F55+F62+F56)),0)</f>
        <v>0</v>
      </c>
      <c r="G63" s="72">
        <f>ROUND(ABS(IF(G55+G62+G56&gt;0,0,G55+G62+G56)),0)</f>
        <v>0</v>
      </c>
      <c r="I63" s="60"/>
      <c r="J63" s="60"/>
      <c r="K63" s="30"/>
      <c r="L63" s="30"/>
      <c r="M63" s="30"/>
      <c r="N63" s="30"/>
      <c r="O63" s="68"/>
    </row>
    <row r="64" spans="2:15" ht="5.25" customHeight="1">
      <c r="B64" s="73"/>
      <c r="C64" s="67"/>
      <c r="D64" s="103"/>
      <c r="E64" s="122"/>
      <c r="F64" s="112"/>
      <c r="G64" s="67"/>
      <c r="I64" s="62"/>
      <c r="J64" s="62"/>
      <c r="K64" s="30"/>
      <c r="L64" s="30"/>
      <c r="M64" s="30"/>
      <c r="N64" s="30"/>
      <c r="O64" s="68"/>
    </row>
    <row r="65" spans="2:15" ht="15.75" thickBot="1">
      <c r="B65" s="48" t="s">
        <v>61</v>
      </c>
      <c r="C65" s="69">
        <f aca="true" t="shared" si="3" ref="C65:G65">IF((C55+C62+C56)&lt;0,0,C55+C62+C56)</f>
        <v>0</v>
      </c>
      <c r="D65" s="100">
        <f t="shared" si="3"/>
        <v>0</v>
      </c>
      <c r="E65" s="124">
        <f t="shared" si="3"/>
        <v>0</v>
      </c>
      <c r="F65" s="109">
        <f t="shared" si="3"/>
        <v>2.7939677238464355E-09</v>
      </c>
      <c r="G65" s="69">
        <f t="shared" si="3"/>
        <v>2.7939677238464355E-09</v>
      </c>
      <c r="I65" s="52" t="str">
        <f>_xlfn.IFERROR(#REF!/C65,"")</f>
        <v/>
      </c>
      <c r="J65" s="52" t="str">
        <f>_xlfn.IFERROR(D65/E65,"")</f>
        <v/>
      </c>
      <c r="K65" s="30"/>
      <c r="L65" s="30"/>
      <c r="M65" s="30"/>
      <c r="N65" s="30"/>
      <c r="O65" s="68"/>
    </row>
    <row r="66" spans="2:15" ht="15">
      <c r="B66" s="2"/>
      <c r="C66" s="30"/>
      <c r="D66" s="30"/>
      <c r="E66" s="74"/>
      <c r="F66" s="74"/>
      <c r="G66" s="74"/>
      <c r="K66" s="30"/>
      <c r="L66" s="30"/>
      <c r="M66" s="30"/>
      <c r="N66" s="30"/>
      <c r="O66" s="68"/>
    </row>
    <row r="67" spans="2:7" ht="15.75">
      <c r="B67" s="75" t="s">
        <v>62</v>
      </c>
      <c r="C67" s="30"/>
      <c r="D67" s="30"/>
      <c r="E67" s="74"/>
      <c r="F67" s="74"/>
      <c r="G67" s="74"/>
    </row>
    <row r="68" spans="2:7" ht="15.75">
      <c r="B68" s="127" t="s">
        <v>63</v>
      </c>
      <c r="C68" s="127"/>
      <c r="D68" s="127"/>
      <c r="E68" s="127"/>
      <c r="F68" s="127"/>
      <c r="G68" s="127"/>
    </row>
    <row r="69" spans="2:7" ht="61.15" customHeight="1">
      <c r="B69" s="128" t="s">
        <v>64</v>
      </c>
      <c r="C69" s="128"/>
      <c r="D69" s="128"/>
      <c r="E69" s="128"/>
      <c r="F69" s="128"/>
      <c r="G69" s="128"/>
    </row>
    <row r="70" spans="2:7" ht="15">
      <c r="B70" s="76" t="s">
        <v>65</v>
      </c>
      <c r="C70" s="77"/>
      <c r="D70" s="77"/>
      <c r="E70" s="77"/>
      <c r="F70" s="77"/>
      <c r="G70" s="77"/>
    </row>
    <row r="71" spans="2:7" ht="15">
      <c r="B71" s="78" t="s">
        <v>66</v>
      </c>
      <c r="C71" s="77"/>
      <c r="D71" s="77"/>
      <c r="E71" s="77"/>
      <c r="F71" s="77"/>
      <c r="G71" s="77"/>
    </row>
    <row r="72" spans="2:7" ht="15">
      <c r="B72" s="78" t="s">
        <v>67</v>
      </c>
      <c r="C72" s="77"/>
      <c r="D72" s="77"/>
      <c r="E72" s="77"/>
      <c r="F72" s="77"/>
      <c r="G72" s="77"/>
    </row>
    <row r="73" spans="2:7" ht="15">
      <c r="B73" s="129" t="s">
        <v>71</v>
      </c>
      <c r="C73" s="129"/>
      <c r="D73" s="129"/>
      <c r="E73" s="129"/>
      <c r="F73" s="129"/>
      <c r="G73" s="129"/>
    </row>
    <row r="75" ht="15">
      <c r="B75" s="79"/>
    </row>
    <row r="76" spans="2:5" ht="15">
      <c r="B76" s="80">
        <v>3775</v>
      </c>
      <c r="C76" s="81"/>
      <c r="D76" s="81" t="s">
        <v>68</v>
      </c>
      <c r="E76" s="82">
        <v>285000</v>
      </c>
    </row>
    <row r="77" spans="2:5" ht="15">
      <c r="B77" s="80">
        <v>3776</v>
      </c>
      <c r="C77" s="81"/>
      <c r="D77" s="81" t="s">
        <v>69</v>
      </c>
      <c r="E77" s="82">
        <f>876484-27593</f>
        <v>848891</v>
      </c>
    </row>
    <row r="78" spans="2:5" ht="15">
      <c r="B78" s="83">
        <v>3771</v>
      </c>
      <c r="C78" s="81"/>
      <c r="D78" s="81" t="s">
        <v>70</v>
      </c>
      <c r="E78" s="82">
        <f>SUM(E76:E77)</f>
        <v>1133891</v>
      </c>
    </row>
    <row r="79" spans="2:5" ht="15">
      <c r="B79" s="81"/>
      <c r="C79" s="81"/>
      <c r="D79" s="81"/>
      <c r="E79" s="81"/>
    </row>
  </sheetData>
  <mergeCells count="6">
    <mergeCell ref="B73:G73"/>
    <mergeCell ref="B1:G1"/>
    <mergeCell ref="B2:G2"/>
    <mergeCell ref="I3:J3"/>
    <mergeCell ref="B68:G68"/>
    <mergeCell ref="B69:G69"/>
  </mergeCells>
  <printOptions horizontalCentered="1"/>
  <pageMargins left="0.2" right="0.2" top="0.4" bottom="0.25" header="0.3" footer="0.3"/>
  <pageSetup fitToHeight="1" fitToWidth="1" horizontalDpi="600" verticalDpi="600" orientation="portrait" scale="6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Gauhar S.</dc:creator>
  <cp:keywords/>
  <dc:description/>
  <cp:lastModifiedBy>Walsh, James</cp:lastModifiedBy>
  <cp:lastPrinted>2019-03-21T23:22:34Z</cp:lastPrinted>
  <dcterms:created xsi:type="dcterms:W3CDTF">2019-03-21T16:33:09Z</dcterms:created>
  <dcterms:modified xsi:type="dcterms:W3CDTF">2019-03-21T23:23:00Z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