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  <sheet name="FN Attachment" sheetId="2" r:id="rId2"/>
    <sheet name="Fund 105" sheetId="3" r:id="rId3"/>
  </sheets>
  <externalReferences>
    <externalReference r:id="rId6"/>
  </externalReferences>
  <definedNames>
    <definedName name="_xlnm.Print_Area" localSheetId="0">'Fiscal Note'!$A$1:$H$44</definedName>
    <definedName name="_xlnm.Print_Area" localSheetId="2">'Fund 105'!$A$1:$I$39</definedName>
  </definedNames>
  <calcPr fullCalcOnLoad="1"/>
</workbook>
</file>

<file path=xl/sharedStrings.xml><?xml version="1.0" encoding="utf-8"?>
<sst xmlns="http://schemas.openxmlformats.org/spreadsheetml/2006/main" count="112" uniqueCount="98">
  <si>
    <t>FISCAL NOTE</t>
  </si>
  <si>
    <t xml:space="preserve">Note Reviewed By:   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</si>
  <si>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</si>
  <si>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</si>
  <si>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</si>
  <si>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</si>
  <si>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Assumptions:</t>
  </si>
  <si>
    <t>Fund Code</t>
  </si>
  <si>
    <t>Revenue Source</t>
  </si>
  <si>
    <t>Salaries &amp; Benefits</t>
  </si>
  <si>
    <t>Supplies and Services</t>
  </si>
  <si>
    <t>Capital Outlay</t>
  </si>
  <si>
    <t>Department Code</t>
  </si>
  <si>
    <t>Revenue:</t>
  </si>
  <si>
    <t>Expenditures:</t>
  </si>
  <si>
    <t>Expenditures by Category</t>
  </si>
  <si>
    <t>Affected Agency and/or Agencies:   Water and Land Resources Division</t>
  </si>
  <si>
    <t>Note Prepared By:  Steve Oien</t>
  </si>
  <si>
    <t>Other - Intergovernmental Contributions</t>
  </si>
  <si>
    <t>Revenues:</t>
  </si>
  <si>
    <t>Expenditures</t>
  </si>
  <si>
    <t>Fund Name:  River Improvement Fund</t>
  </si>
  <si>
    <t>Fund Number:  000001050</t>
  </si>
  <si>
    <t>Prepared by:  Richard Rice</t>
  </si>
  <si>
    <t>Category</t>
  </si>
  <si>
    <t>2003 Adopted</t>
  </si>
  <si>
    <t xml:space="preserve">2003 Revised  </t>
  </si>
  <si>
    <t>2004 Adopted</t>
  </si>
  <si>
    <t>2004 revised</t>
  </si>
  <si>
    <t xml:space="preserve">Beginning Fund Balance </t>
  </si>
  <si>
    <t>Revenues</t>
  </si>
  <si>
    <t>Revenue for Encumbrance Carryover</t>
  </si>
  <si>
    <t>Revenue for Project 011043</t>
  </si>
  <si>
    <t>Total Revenues</t>
  </si>
  <si>
    <t>Operating Expenditures</t>
  </si>
  <si>
    <t>Encumbrance Carryover-2002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</si>
  <si>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</si>
  <si>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</si>
  <si>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</si>
  <si>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</si>
  <si>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</si>
  <si>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</si>
  <si>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Reserve for Encumbrance Carryover</t>
  </si>
  <si>
    <t>Total Designations and Reserves</t>
  </si>
  <si>
    <t>Ending Undesignated Fund Balance</t>
  </si>
  <si>
    <t>Financial Plan Notes:</t>
  </si>
  <si>
    <t>2004 Corps 205 Supplemental</t>
  </si>
  <si>
    <t>Snoqualmie Corps 205 Supplemental Appropriation Worksheet</t>
  </si>
  <si>
    <t>Project Element</t>
  </si>
  <si>
    <t xml:space="preserve">Notes </t>
  </si>
  <si>
    <t>Total</t>
  </si>
  <si>
    <t>KC Share</t>
  </si>
  <si>
    <t>Snoqualmie Share</t>
  </si>
  <si>
    <t>PSE Share</t>
  </si>
  <si>
    <t>Army Corps</t>
  </si>
  <si>
    <t>Total Estimated Cost</t>
  </si>
  <si>
    <t xml:space="preserve">1/ </t>
  </si>
  <si>
    <t>Life to Date Costs</t>
  </si>
  <si>
    <t>Credited</t>
  </si>
  <si>
    <t>Creditable Beyond COE Limit</t>
  </si>
  <si>
    <t>Non-Credited</t>
  </si>
  <si>
    <t>2/</t>
  </si>
  <si>
    <t>Remaining Obligations</t>
  </si>
  <si>
    <t>Direct Outside Obligations</t>
  </si>
  <si>
    <t>Project Balance in Fund 318</t>
  </si>
  <si>
    <t>3/</t>
  </si>
  <si>
    <t>Supplemental Need</t>
  </si>
  <si>
    <t>Existing spend auth</t>
  </si>
  <si>
    <t>Spend Auth Need</t>
  </si>
  <si>
    <t>With Contingency</t>
  </si>
  <si>
    <t>Snoq + PSE</t>
  </si>
  <si>
    <t>1/ Estimate based on November 2003 consultant report, including Corps adjustments thru Jan 26, 2004.</t>
  </si>
  <si>
    <t>2/  Total estimated KC share includes estimated in-kind costs, and non-credited costs.</t>
  </si>
  <si>
    <t>3/  Project balance is $1,116,000, less 2003 expenditures of $392,000 and outside Corps and City revenues of $213,000.</t>
  </si>
  <si>
    <t>Amount Requested in Suppl</t>
  </si>
  <si>
    <t>10% Contingency 4/</t>
  </si>
  <si>
    <t>4/  WLR contingency based upon 10% of WLR's total project share; Snoqualmie and PSE based on 10% of amount</t>
  </si>
  <si>
    <t xml:space="preserve">      included in supplemental.  A contingency is deemed appropriate because bids have not yet been received and </t>
  </si>
  <si>
    <t xml:space="preserve">      opened by Corps staff.</t>
  </si>
  <si>
    <t>2005 Estimated</t>
  </si>
  <si>
    <t>2006 Estimated</t>
  </si>
  <si>
    <t>2002 Actual 1/</t>
  </si>
  <si>
    <t>2003 Estimated 2/</t>
  </si>
  <si>
    <t>River Improvement Levy 3/</t>
  </si>
  <si>
    <t>Other Revenue 4/</t>
  </si>
  <si>
    <t>Target Fund Balance 5/</t>
  </si>
  <si>
    <t>1/ 2002 actuals are based on 2002 CAFR.</t>
  </si>
  <si>
    <t>2/  2003 estimate is based on 13th month preliminary numbers.</t>
  </si>
  <si>
    <t>3/  2004 - 2006 RIF levy assumes annual growth of 1%.</t>
  </si>
  <si>
    <t>4/  Other revenue sources include Green River Flood Control Zone District, FCAAP Grants, FEMA grants.</t>
  </si>
  <si>
    <t xml:space="preserve">Ordinance/Motion No.  </t>
  </si>
  <si>
    <t>Title:  KCD ILA - CAO Implementation</t>
  </si>
  <si>
    <t>Rural Drainage Subfund</t>
  </si>
  <si>
    <t>WLR/SWM Fund 121</t>
  </si>
  <si>
    <t>TBD</t>
  </si>
  <si>
    <t>Revenue shown are underlying funding sources: $150,000 from RDP; $100,000 Urban SWM Charge.</t>
  </si>
  <si>
    <t>Expenditures as budgeted in the 2005 Council adopted budget.  For 2006 and beyond, it is assumed there</t>
  </si>
  <si>
    <t>will be ongoing contributions.  However, the amounts will depend on volume of CAO related work and annual KC budget decisions.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</si>
</sst>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[Red]\(#,##0\)"/>
    <numFmt numFmtId="169" formatCode="00000"/>
    <numFmt numFmtId="170" formatCode="#,##0;[Red]\(#,##0\);0"/>
    <numFmt numFmtId="171" formatCode="&quot;$&quot;#,##0.00;\(&quot;$&quot;#,##0.00\)"/>
    <numFmt numFmtId="172" formatCode="0.0%"/>
    <numFmt numFmtId="173" formatCode="&quot;$&quot;#,##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0"/>
    <numFmt numFmtId="177" formatCode="&quot;thru&quot;\ mmmm\,\ yyyy"/>
    <numFmt numFmtId="178" formatCode="0#####"/>
    <numFmt numFmtId="179" formatCode="&quot;$&quot;#,##0.0_);[Red]\(&quot;$&quot;#,##0.0\)"/>
    <numFmt numFmtId="180" formatCode="000000"/>
    <numFmt numFmtId="181" formatCode="#,##0.0"/>
    <numFmt numFmtId="182" formatCode="&quot;ARMS postings thru&quot;\ mmmm\,\ yyyy"/>
    <numFmt numFmtId="183" formatCode="0\ &quot;months&quot;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u val="single"/>
      <sz val="10.5"/>
      <name val="Univers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4"/>
      <name val="Arial"/>
      <family val="2"/>
    </font>
    <font>
      <sz val="8"/>
      <name val="Arial"/>
      <family val="0"/>
    </font>
    <font>
      <b/>
      <sz val="10"/>
      <name val="Univer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7" fontId="1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8" fillId="0" borderId="10" xfId="0" applyNumberFormat="1" applyFont="1" applyBorder="1" applyAlignment="1">
      <alignment horizontal="center"/>
    </xf>
    <xf numFmtId="38" fontId="8" fillId="0" borderId="23" xfId="0" applyNumberFormat="1" applyFont="1" applyBorder="1" applyAlignment="1">
      <alignment horizontal="center"/>
    </xf>
    <xf numFmtId="38" fontId="8" fillId="0" borderId="24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/>
    </xf>
    <xf numFmtId="38" fontId="4" fillId="0" borderId="23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10" xfId="0" applyNumberFormat="1" applyFont="1" applyBorder="1" applyAlignment="1">
      <alignment horizontal="right"/>
    </xf>
    <xf numFmtId="38" fontId="4" fillId="0" borderId="23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0" fontId="4" fillId="0" borderId="17" xfId="22" applyFont="1" applyBorder="1">
      <alignment/>
      <protection/>
    </xf>
    <xf numFmtId="38" fontId="9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center"/>
    </xf>
    <xf numFmtId="37" fontId="14" fillId="0" borderId="0" xfId="21" applyFont="1" applyBorder="1" applyAlignment="1">
      <alignment horizontal="centerContinuous" wrapText="1"/>
      <protection/>
    </xf>
    <xf numFmtId="0" fontId="14" fillId="2" borderId="0" xfId="0" applyFont="1" applyFill="1" applyBorder="1" applyAlignment="1">
      <alignment horizontal="left"/>
    </xf>
    <xf numFmtId="37" fontId="1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14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16" fillId="0" borderId="0" xfId="21" applyFont="1" applyBorder="1" applyAlignment="1">
      <alignment horizontal="left"/>
      <protection/>
    </xf>
    <xf numFmtId="37" fontId="17" fillId="0" borderId="25" xfId="21" applyFont="1" applyBorder="1" applyAlignment="1">
      <alignment horizontal="left" wrapText="1"/>
      <protection/>
    </xf>
    <xf numFmtId="37" fontId="18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9" fillId="0" borderId="0" xfId="21" applyFont="1" applyBorder="1" applyAlignment="1">
      <alignment horizontal="centerContinuous" wrapText="1"/>
      <protection/>
    </xf>
    <xf numFmtId="37" fontId="16" fillId="2" borderId="10" xfId="21" applyFont="1" applyFill="1" applyBorder="1" applyAlignment="1" applyProtection="1">
      <alignment horizontal="left" wrapText="1"/>
      <protection/>
    </xf>
    <xf numFmtId="37" fontId="16" fillId="2" borderId="24" xfId="21" applyFont="1" applyFill="1" applyBorder="1" applyAlignment="1">
      <alignment horizontal="center" wrapText="1"/>
      <protection/>
    </xf>
    <xf numFmtId="37" fontId="16" fillId="2" borderId="11" xfId="21" applyFont="1" applyFill="1" applyBorder="1" applyAlignment="1">
      <alignment horizontal="center" wrapText="1"/>
      <protection/>
    </xf>
    <xf numFmtId="37" fontId="16" fillId="2" borderId="26" xfId="21" applyFont="1" applyFill="1" applyBorder="1" applyAlignment="1">
      <alignment horizontal="center" wrapText="1"/>
      <protection/>
    </xf>
    <xf numFmtId="37" fontId="16" fillId="2" borderId="27" xfId="21" applyFont="1" applyFill="1" applyBorder="1" applyAlignment="1">
      <alignment horizontal="center" wrapText="1"/>
      <protection/>
    </xf>
    <xf numFmtId="37" fontId="16" fillId="2" borderId="23" xfId="21" applyFont="1" applyFill="1" applyBorder="1" applyAlignment="1">
      <alignment horizontal="center" wrapText="1"/>
      <protection/>
    </xf>
    <xf numFmtId="37" fontId="16" fillId="2" borderId="10" xfId="21" applyFont="1" applyFill="1" applyBorder="1" applyAlignment="1">
      <alignment horizontal="center" wrapText="1"/>
      <protection/>
    </xf>
    <xf numFmtId="0" fontId="14" fillId="2" borderId="0" xfId="0" applyFont="1" applyFill="1" applyAlignment="1">
      <alignment/>
    </xf>
    <xf numFmtId="37" fontId="16" fillId="0" borderId="10" xfId="21" applyFont="1" applyFill="1" applyBorder="1" applyAlignment="1">
      <alignment horizontal="left"/>
      <protection/>
    </xf>
    <xf numFmtId="167" fontId="16" fillId="0" borderId="10" xfId="15" applyNumberFormat="1" applyFont="1" applyFill="1" applyBorder="1" applyAlignment="1">
      <alignment/>
    </xf>
    <xf numFmtId="167" fontId="16" fillId="0" borderId="11" xfId="15" applyNumberFormat="1" applyFont="1" applyFill="1" applyBorder="1" applyAlignment="1">
      <alignment/>
    </xf>
    <xf numFmtId="167" fontId="16" fillId="0" borderId="9" xfId="15" applyNumberFormat="1" applyFont="1" applyFill="1" applyBorder="1" applyAlignment="1">
      <alignment/>
    </xf>
    <xf numFmtId="167" fontId="16" fillId="0" borderId="28" xfId="15" applyNumberFormat="1" applyFont="1" applyBorder="1" applyAlignment="1">
      <alignment/>
    </xf>
    <xf numFmtId="167" fontId="16" fillId="0" borderId="29" xfId="15" applyNumberFormat="1" applyFont="1" applyBorder="1" applyAlignment="1">
      <alignment/>
    </xf>
    <xf numFmtId="0" fontId="16" fillId="0" borderId="0" xfId="0" applyFont="1" applyAlignment="1">
      <alignment/>
    </xf>
    <xf numFmtId="37" fontId="16" fillId="0" borderId="30" xfId="21" applyFont="1" applyFill="1" applyBorder="1" applyAlignment="1">
      <alignment horizontal="left"/>
      <protection/>
    </xf>
    <xf numFmtId="167" fontId="14" fillId="0" borderId="30" xfId="15" applyNumberFormat="1" applyFont="1" applyFill="1" applyBorder="1" applyAlignment="1">
      <alignment/>
    </xf>
    <xf numFmtId="167" fontId="14" fillId="0" borderId="31" xfId="15" applyNumberFormat="1" applyFont="1" applyFill="1" applyBorder="1" applyAlignment="1">
      <alignment/>
    </xf>
    <xf numFmtId="167" fontId="14" fillId="0" borderId="32" xfId="15" applyNumberFormat="1" applyFont="1" applyBorder="1" applyAlignment="1">
      <alignment/>
    </xf>
    <xf numFmtId="167" fontId="14" fillId="0" borderId="33" xfId="15" applyNumberFormat="1" applyFont="1" applyBorder="1" applyAlignment="1">
      <alignment/>
    </xf>
    <xf numFmtId="0" fontId="14" fillId="0" borderId="0" xfId="0" applyFont="1" applyAlignment="1">
      <alignment/>
    </xf>
    <xf numFmtId="37" fontId="14" fillId="0" borderId="30" xfId="21" applyFont="1" applyFill="1" applyBorder="1" applyAlignment="1">
      <alignment horizontal="left"/>
      <protection/>
    </xf>
    <xf numFmtId="167" fontId="14" fillId="0" borderId="34" xfId="15" applyNumberFormat="1" applyFont="1" applyBorder="1" applyAlignment="1">
      <alignment/>
    </xf>
    <xf numFmtId="167" fontId="14" fillId="0" borderId="30" xfId="15" applyNumberFormat="1" applyFont="1" applyBorder="1" applyAlignment="1">
      <alignment/>
    </xf>
    <xf numFmtId="167" fontId="14" fillId="0" borderId="30" xfId="15" applyNumberFormat="1" applyFont="1" applyBorder="1" applyAlignment="1">
      <alignment wrapText="1"/>
    </xf>
    <xf numFmtId="167" fontId="14" fillId="0" borderId="31" xfId="15" applyNumberFormat="1" applyFont="1" applyFill="1" applyBorder="1" applyAlignment="1">
      <alignment horizontal="center"/>
    </xf>
    <xf numFmtId="37" fontId="16" fillId="0" borderId="29" xfId="21" applyFont="1" applyFill="1" applyBorder="1" applyAlignment="1">
      <alignment horizontal="left"/>
      <protection/>
    </xf>
    <xf numFmtId="167" fontId="16" fillId="0" borderId="29" xfId="15" applyNumberFormat="1" applyFont="1" applyFill="1" applyBorder="1" applyAlignment="1">
      <alignment/>
    </xf>
    <xf numFmtId="167" fontId="16" fillId="0" borderId="29" xfId="15" applyNumberFormat="1" applyFont="1" applyBorder="1" applyAlignment="1">
      <alignment/>
    </xf>
    <xf numFmtId="37" fontId="16" fillId="0" borderId="10" xfId="21" applyFont="1" applyFill="1" applyBorder="1" applyAlignment="1">
      <alignment horizontal="left"/>
      <protection/>
    </xf>
    <xf numFmtId="167" fontId="20" fillId="3" borderId="10" xfId="15" applyNumberFormat="1" applyFont="1" applyFill="1" applyBorder="1" applyAlignment="1" quotePrefix="1">
      <alignment/>
    </xf>
    <xf numFmtId="167" fontId="14" fillId="0" borderId="11" xfId="15" applyNumberFormat="1" applyFont="1" applyFill="1" applyBorder="1" applyAlignment="1">
      <alignment/>
    </xf>
    <xf numFmtId="167" fontId="14" fillId="3" borderId="11" xfId="15" applyNumberFormat="1" applyFont="1" applyFill="1" applyBorder="1" applyAlignment="1">
      <alignment/>
    </xf>
    <xf numFmtId="167" fontId="14" fillId="0" borderId="23" xfId="15" applyNumberFormat="1" applyFont="1" applyBorder="1" applyAlignment="1">
      <alignment/>
    </xf>
    <xf numFmtId="167" fontId="14" fillId="0" borderId="10" xfId="15" applyNumberFormat="1" applyFont="1" applyBorder="1" applyAlignment="1">
      <alignment/>
    </xf>
    <xf numFmtId="37" fontId="16" fillId="0" borderId="30" xfId="21" applyFont="1" applyFill="1" applyBorder="1" applyAlignment="1">
      <alignment horizontal="left"/>
      <protection/>
    </xf>
    <xf numFmtId="167" fontId="20" fillId="0" borderId="30" xfId="15" applyNumberFormat="1" applyFont="1" applyFill="1" applyBorder="1" applyAlignment="1" quotePrefix="1">
      <alignment/>
    </xf>
    <xf numFmtId="167" fontId="14" fillId="0" borderId="31" xfId="15" applyNumberFormat="1" applyFont="1" applyBorder="1" applyAlignment="1">
      <alignment/>
    </xf>
    <xf numFmtId="167" fontId="21" fillId="0" borderId="30" xfId="15" applyNumberFormat="1" applyFont="1" applyFill="1" applyBorder="1" applyAlignment="1" quotePrefix="1">
      <alignment/>
    </xf>
    <xf numFmtId="167" fontId="14" fillId="0" borderId="10" xfId="15" applyNumberFormat="1" applyFont="1" applyFill="1" applyBorder="1" applyAlignment="1" quotePrefix="1">
      <alignment/>
    </xf>
    <xf numFmtId="167" fontId="14" fillId="0" borderId="11" xfId="15" applyNumberFormat="1" applyFont="1" applyFill="1" applyBorder="1" applyAlignment="1" quotePrefix="1">
      <alignment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167" fontId="14" fillId="0" borderId="0" xfId="15" applyNumberFormat="1" applyFont="1" applyFill="1" applyBorder="1" applyAlignment="1">
      <alignment/>
    </xf>
    <xf numFmtId="167" fontId="14" fillId="0" borderId="32" xfId="15" applyNumberFormat="1" applyFont="1" applyFill="1" applyBorder="1" applyAlignment="1">
      <alignment/>
    </xf>
    <xf numFmtId="167" fontId="14" fillId="0" borderId="30" xfId="15" applyNumberFormat="1" applyFont="1" applyFill="1" applyBorder="1" applyAlignment="1">
      <alignment/>
    </xf>
    <xf numFmtId="167" fontId="16" fillId="0" borderId="30" xfId="15" applyNumberFormat="1" applyFont="1" applyFill="1" applyBorder="1" applyAlignment="1">
      <alignment/>
    </xf>
    <xf numFmtId="167" fontId="16" fillId="0" borderId="31" xfId="15" applyNumberFormat="1" applyFont="1" applyFill="1" applyBorder="1" applyAlignment="1">
      <alignment/>
    </xf>
    <xf numFmtId="167" fontId="16" fillId="0" borderId="0" xfId="15" applyNumberFormat="1" applyFont="1" applyFill="1" applyBorder="1" applyAlignment="1">
      <alignment/>
    </xf>
    <xf numFmtId="167" fontId="16" fillId="0" borderId="29" xfId="15" applyNumberFormat="1" applyFont="1" applyFill="1" applyBorder="1" applyAlignment="1">
      <alignment/>
    </xf>
    <xf numFmtId="167" fontId="16" fillId="0" borderId="30" xfId="15" applyNumberFormat="1" applyFont="1" applyFill="1" applyBorder="1" applyAlignment="1">
      <alignment/>
    </xf>
    <xf numFmtId="37" fontId="16" fillId="0" borderId="20" xfId="21" applyFont="1" applyFill="1" applyBorder="1" applyAlignment="1" quotePrefix="1">
      <alignment horizontal="left"/>
      <protection/>
    </xf>
    <xf numFmtId="167" fontId="14" fillId="0" borderId="10" xfId="15" applyNumberFormat="1" applyFont="1" applyFill="1" applyBorder="1" applyAlignment="1">
      <alignment/>
    </xf>
    <xf numFmtId="167" fontId="14" fillId="0" borderId="23" xfId="15" applyNumberFormat="1" applyFont="1" applyBorder="1" applyAlignment="1">
      <alignment horizontal="right"/>
    </xf>
    <xf numFmtId="37" fontId="17" fillId="0" borderId="0" xfId="21" applyFont="1" applyAlignment="1">
      <alignment horizontal="left"/>
      <protection/>
    </xf>
    <xf numFmtId="37" fontId="21" fillId="0" borderId="0" xfId="21" applyFont="1" applyBorder="1">
      <alignment/>
      <protection/>
    </xf>
    <xf numFmtId="37" fontId="17" fillId="0" borderId="0" xfId="21" applyFont="1" applyBorder="1">
      <alignment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37" fontId="17" fillId="0" borderId="0" xfId="21" applyFont="1" applyBorder="1" applyAlignment="1" quotePrefix="1">
      <alignment horizontal="left"/>
      <protection/>
    </xf>
    <xf numFmtId="0" fontId="17" fillId="0" borderId="0" xfId="0" applyFont="1" applyBorder="1" applyAlignment="1" quotePrefix="1">
      <alignment horizontal="left"/>
    </xf>
    <xf numFmtId="37" fontId="17" fillId="0" borderId="0" xfId="21" applyFont="1" applyBorder="1">
      <alignment/>
      <protection/>
    </xf>
    <xf numFmtId="0" fontId="21" fillId="0" borderId="0" xfId="0" applyFont="1" applyBorder="1" applyAlignment="1">
      <alignment horizontal="center"/>
    </xf>
    <xf numFmtId="37" fontId="16" fillId="0" borderId="0" xfId="21" applyFont="1" applyBorder="1">
      <alignment/>
      <protection/>
    </xf>
    <xf numFmtId="37" fontId="14" fillId="0" borderId="0" xfId="21" applyFont="1" applyBorder="1">
      <alignment/>
      <protection/>
    </xf>
    <xf numFmtId="0" fontId="21" fillId="0" borderId="0" xfId="0" applyFont="1" applyAlignment="1" quotePrefix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167" fontId="0" fillId="0" borderId="0" xfId="15" applyNumberFormat="1" applyFont="1" applyAlignment="1">
      <alignment/>
    </xf>
    <xf numFmtId="167" fontId="0" fillId="0" borderId="0" xfId="15" applyNumberFormat="1" applyAlignment="1">
      <alignment/>
    </xf>
    <xf numFmtId="167" fontId="0" fillId="0" borderId="0" xfId="15" applyNumberFormat="1" applyFont="1" applyAlignment="1">
      <alignment horizontal="right"/>
    </xf>
    <xf numFmtId="167" fontId="1" fillId="0" borderId="35" xfId="15" applyNumberFormat="1" applyFont="1" applyBorder="1" applyAlignment="1">
      <alignment/>
    </xf>
    <xf numFmtId="167" fontId="0" fillId="0" borderId="0" xfId="15" applyNumberFormat="1" applyFont="1" applyBorder="1" applyAlignment="1">
      <alignment/>
    </xf>
    <xf numFmtId="167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7" fontId="0" fillId="0" borderId="35" xfId="15" applyNumberFormat="1" applyFont="1" applyBorder="1" applyAlignment="1">
      <alignment/>
    </xf>
    <xf numFmtId="167" fontId="1" fillId="0" borderId="0" xfId="15" applyNumberFormat="1" applyFont="1" applyAlignment="1">
      <alignment/>
    </xf>
    <xf numFmtId="167" fontId="1" fillId="0" borderId="0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38" fontId="4" fillId="0" borderId="0" xfId="0" applyNumberFormat="1" applyFont="1" applyBorder="1" applyAlignment="1">
      <alignment/>
    </xf>
    <xf numFmtId="37" fontId="21" fillId="0" borderId="0" xfId="21" applyFont="1" applyBorder="1" applyAlignment="1">
      <alignment horizontal="left"/>
      <protection/>
    </xf>
    <xf numFmtId="38" fontId="6" fillId="0" borderId="20" xfId="0" applyNumberFormat="1" applyFont="1" applyBorder="1" applyAlignment="1">
      <alignment horizontal="center"/>
    </xf>
    <xf numFmtId="38" fontId="6" fillId="0" borderId="36" xfId="0" applyNumberFormat="1" applyFont="1" applyBorder="1" applyAlignment="1">
      <alignment horizontal="center"/>
    </xf>
    <xf numFmtId="38" fontId="25" fillId="0" borderId="10" xfId="0" applyNumberFormat="1" applyFont="1" applyBorder="1" applyAlignment="1">
      <alignment horizontal="center"/>
    </xf>
    <xf numFmtId="38" fontId="4" fillId="0" borderId="10" xfId="15" applyNumberFormat="1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Normal_CIP Correction Fiscal No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TEVEO\LOCALS~1\Temp\Snoq%20205%20Cost%20Shares%202Feb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MS"/>
      <sheetName val="Assume"/>
      <sheetName val="Expenses"/>
      <sheetName val="Share per COE"/>
      <sheetName val="CY04"/>
      <sheetName val="Supp04"/>
      <sheetName val="Share per KC"/>
    </sheetNames>
    <sheetDataSet>
      <sheetData sheetId="0">
        <row r="21">
          <cell r="D21">
            <v>52642.36</v>
          </cell>
          <cell r="G21">
            <v>472702.14</v>
          </cell>
        </row>
        <row r="22">
          <cell r="G22">
            <v>158457.32999999996</v>
          </cell>
        </row>
      </sheetData>
      <sheetData sheetId="2">
        <row r="8">
          <cell r="B8">
            <v>640000</v>
          </cell>
          <cell r="D8">
            <v>100000</v>
          </cell>
        </row>
        <row r="11">
          <cell r="E11">
            <v>323719</v>
          </cell>
        </row>
        <row r="31">
          <cell r="D31">
            <v>183333.33333333334</v>
          </cell>
        </row>
      </sheetData>
      <sheetData sheetId="3">
        <row r="9">
          <cell r="B9">
            <v>4001326.5104999994</v>
          </cell>
          <cell r="C9">
            <v>1393231.186416667</v>
          </cell>
          <cell r="D9">
            <v>1079831.4964166668</v>
          </cell>
          <cell r="E9">
            <v>865085.6666666666</v>
          </cell>
        </row>
        <row r="18">
          <cell r="D18">
            <v>6300</v>
          </cell>
        </row>
        <row r="19">
          <cell r="D19">
            <v>60000</v>
          </cell>
        </row>
        <row r="25">
          <cell r="E25">
            <v>66666.66666666667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7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90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91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16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17</v>
      </c>
      <c r="B6" s="14"/>
      <c r="C6" s="14"/>
      <c r="D6" s="14"/>
      <c r="E6" s="166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46" t="s">
        <v>13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3" t="s">
        <v>3</v>
      </c>
      <c r="B11" s="34"/>
      <c r="C11" s="35" t="s">
        <v>7</v>
      </c>
      <c r="D11" s="35" t="s">
        <v>8</v>
      </c>
      <c r="E11" s="35">
        <v>2005</v>
      </c>
      <c r="F11" s="35">
        <v>2006</v>
      </c>
      <c r="G11" s="36">
        <v>2007</v>
      </c>
      <c r="H11" s="37">
        <v>2008</v>
      </c>
    </row>
    <row r="12" spans="1:8" ht="18" customHeight="1">
      <c r="A12" s="38" t="s">
        <v>92</v>
      </c>
      <c r="B12" s="20"/>
      <c r="C12" s="21">
        <v>1211</v>
      </c>
      <c r="D12" s="21">
        <v>39721</v>
      </c>
      <c r="E12" s="59">
        <v>150000</v>
      </c>
      <c r="F12" s="49"/>
      <c r="G12" s="50"/>
      <c r="H12" s="51"/>
    </row>
    <row r="13" spans="1:8" ht="18" customHeight="1">
      <c r="A13" s="38" t="s">
        <v>93</v>
      </c>
      <c r="B13" s="20"/>
      <c r="C13" s="60">
        <v>1210</v>
      </c>
      <c r="D13" s="21">
        <v>39721</v>
      </c>
      <c r="E13" s="61">
        <v>100000</v>
      </c>
      <c r="F13" s="52"/>
      <c r="G13" s="53"/>
      <c r="H13" s="54"/>
    </row>
    <row r="14" spans="1:8" ht="18" customHeight="1">
      <c r="A14" s="38"/>
      <c r="B14" s="20"/>
      <c r="C14" s="60"/>
      <c r="D14" s="21"/>
      <c r="E14" s="61"/>
      <c r="F14" s="52"/>
      <c r="G14" s="53"/>
      <c r="H14" s="54"/>
    </row>
    <row r="15" spans="1:8" ht="18" customHeight="1">
      <c r="A15" s="38"/>
      <c r="B15" s="20"/>
      <c r="C15" s="60"/>
      <c r="D15" s="21"/>
      <c r="E15" s="61"/>
      <c r="F15" s="52"/>
      <c r="G15" s="53"/>
      <c r="H15" s="54"/>
    </row>
    <row r="16" spans="1:8" ht="18" customHeight="1">
      <c r="A16" s="38"/>
      <c r="B16" s="20"/>
      <c r="C16" s="60"/>
      <c r="D16" s="21"/>
      <c r="E16" s="61"/>
      <c r="F16" s="55"/>
      <c r="G16" s="56"/>
      <c r="H16" s="57"/>
    </row>
    <row r="17" spans="1:8" ht="18" customHeight="1" thickBot="1">
      <c r="A17" s="39"/>
      <c r="B17" s="40" t="s">
        <v>4</v>
      </c>
      <c r="C17" s="41"/>
      <c r="D17" s="41"/>
      <c r="E17" s="168">
        <f>SUM(E12:E16)</f>
        <v>250000</v>
      </c>
      <c r="F17" s="168">
        <f>SUM(F12:F16)</f>
        <v>0</v>
      </c>
      <c r="G17" s="168">
        <f>SUM(G12:G16)</f>
        <v>0</v>
      </c>
      <c r="H17" s="169">
        <f>SUM(H12:H16)</f>
        <v>0</v>
      </c>
    </row>
    <row r="18" spans="1:8" ht="18" customHeight="1">
      <c r="A18" s="19"/>
      <c r="B18" s="19"/>
      <c r="C18" s="19"/>
      <c r="D18" s="19"/>
      <c r="E18" s="24"/>
      <c r="F18" s="24"/>
      <c r="G18" s="24"/>
      <c r="H18" s="24"/>
    </row>
    <row r="19" spans="1:8" ht="18" customHeight="1" thickBot="1">
      <c r="A19" s="45" t="s">
        <v>14</v>
      </c>
      <c r="B19" s="14"/>
      <c r="C19" s="14"/>
      <c r="D19" s="19"/>
      <c r="E19" s="19"/>
      <c r="F19" s="19"/>
      <c r="G19" s="19"/>
      <c r="H19" s="19"/>
    </row>
    <row r="20" spans="1:8" ht="18" customHeight="1">
      <c r="A20" s="33" t="s">
        <v>3</v>
      </c>
      <c r="B20" s="34"/>
      <c r="C20" s="35" t="s">
        <v>7</v>
      </c>
      <c r="D20" s="35" t="s">
        <v>12</v>
      </c>
      <c r="E20" s="35">
        <v>2005</v>
      </c>
      <c r="F20" s="35">
        <v>2006</v>
      </c>
      <c r="G20" s="36">
        <v>2007</v>
      </c>
      <c r="H20" s="37">
        <v>2008</v>
      </c>
    </row>
    <row r="21" spans="1:8" ht="18" customHeight="1">
      <c r="A21" s="38" t="s">
        <v>92</v>
      </c>
      <c r="B21" s="20"/>
      <c r="C21" s="21">
        <v>1211</v>
      </c>
      <c r="D21" s="21">
        <v>845</v>
      </c>
      <c r="E21" s="59">
        <v>150000</v>
      </c>
      <c r="F21" s="170" t="s">
        <v>94</v>
      </c>
      <c r="G21" s="170" t="s">
        <v>94</v>
      </c>
      <c r="H21" s="170" t="s">
        <v>94</v>
      </c>
    </row>
    <row r="22" spans="1:8" ht="18" customHeight="1">
      <c r="A22" s="38" t="s">
        <v>93</v>
      </c>
      <c r="B22" s="20"/>
      <c r="C22" s="60">
        <v>1210</v>
      </c>
      <c r="D22" s="21">
        <v>741</v>
      </c>
      <c r="E22" s="61">
        <v>100000</v>
      </c>
      <c r="F22" s="170" t="s">
        <v>94</v>
      </c>
      <c r="G22" s="170" t="s">
        <v>94</v>
      </c>
      <c r="H22" s="170" t="s">
        <v>94</v>
      </c>
    </row>
    <row r="23" spans="1:8" ht="18" customHeight="1">
      <c r="A23" s="38"/>
      <c r="B23" s="25"/>
      <c r="C23" s="23"/>
      <c r="D23" s="26"/>
      <c r="E23" s="55"/>
      <c r="F23" s="52"/>
      <c r="G23" s="53"/>
      <c r="H23" s="54"/>
    </row>
    <row r="24" spans="1:8" ht="18" customHeight="1">
      <c r="A24" s="38"/>
      <c r="B24" s="25"/>
      <c r="C24" s="22"/>
      <c r="D24" s="22"/>
      <c r="E24" s="52"/>
      <c r="F24" s="52"/>
      <c r="G24" s="53"/>
      <c r="H24" s="54"/>
    </row>
    <row r="25" spans="1:9" ht="18" customHeight="1" thickBot="1">
      <c r="A25" s="39"/>
      <c r="B25" s="40" t="s">
        <v>5</v>
      </c>
      <c r="C25" s="41"/>
      <c r="D25" s="41"/>
      <c r="E25" s="168">
        <f>SUM(E21:E24)</f>
        <v>250000</v>
      </c>
      <c r="F25" s="168">
        <f>SUM(F21:F24)</f>
        <v>0</v>
      </c>
      <c r="G25" s="168">
        <f>SUM(G21:G24)</f>
        <v>0</v>
      </c>
      <c r="H25" s="169">
        <f>SUM(H21:H24)</f>
        <v>0</v>
      </c>
      <c r="I25" s="48"/>
    </row>
    <row r="26" spans="1:8" ht="18" customHeight="1">
      <c r="A26" s="19"/>
      <c r="B26" s="19"/>
      <c r="C26" s="19"/>
      <c r="D26" s="19"/>
      <c r="E26" s="24"/>
      <c r="F26" s="24"/>
      <c r="G26" s="24"/>
      <c r="H26" s="24"/>
    </row>
    <row r="27" spans="1:8" ht="18" customHeight="1" thickBot="1">
      <c r="A27" s="45" t="s">
        <v>15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3"/>
      <c r="B28" s="34"/>
      <c r="C28" s="42"/>
      <c r="D28" s="43"/>
      <c r="E28" s="35">
        <v>2005</v>
      </c>
      <c r="F28" s="35">
        <v>2006</v>
      </c>
      <c r="G28" s="36">
        <v>2007</v>
      </c>
      <c r="H28" s="37">
        <v>2008</v>
      </c>
      <c r="I28" s="29"/>
      <c r="J28" s="29"/>
    </row>
    <row r="29" spans="1:10" ht="18" customHeight="1">
      <c r="A29" s="58" t="s">
        <v>9</v>
      </c>
      <c r="B29" s="20"/>
      <c r="C29" s="27"/>
      <c r="D29" s="28"/>
      <c r="E29" s="49"/>
      <c r="F29" s="49"/>
      <c r="G29" s="50"/>
      <c r="H29" s="51"/>
      <c r="I29" s="29"/>
      <c r="J29" s="29"/>
    </row>
    <row r="30" spans="1:10" ht="18" customHeight="1">
      <c r="A30" s="58" t="s">
        <v>10</v>
      </c>
      <c r="B30" s="20"/>
      <c r="C30" s="20"/>
      <c r="D30" s="25"/>
      <c r="E30" s="52"/>
      <c r="F30" s="52"/>
      <c r="G30" s="53"/>
      <c r="H30" s="54"/>
      <c r="I30" s="30"/>
      <c r="J30" s="30"/>
    </row>
    <row r="31" spans="1:10" ht="18" customHeight="1">
      <c r="A31" s="58" t="s">
        <v>11</v>
      </c>
      <c r="B31" s="20"/>
      <c r="C31" s="20"/>
      <c r="D31" s="25"/>
      <c r="E31" s="52"/>
      <c r="F31" s="52"/>
      <c r="G31" s="53"/>
      <c r="H31" s="54"/>
      <c r="I31" s="30"/>
      <c r="J31" s="30"/>
    </row>
    <row r="32" spans="1:8" ht="18" customHeight="1">
      <c r="A32" s="58" t="s">
        <v>18</v>
      </c>
      <c r="B32" s="20"/>
      <c r="C32" s="20"/>
      <c r="D32" s="25"/>
      <c r="E32" s="171">
        <v>250000</v>
      </c>
      <c r="F32" s="170" t="s">
        <v>94</v>
      </c>
      <c r="G32" s="170" t="s">
        <v>94</v>
      </c>
      <c r="H32" s="170" t="s">
        <v>94</v>
      </c>
    </row>
    <row r="33" spans="1:10" ht="18" customHeight="1" thickBot="1">
      <c r="A33" s="39" t="s">
        <v>5</v>
      </c>
      <c r="B33" s="40"/>
      <c r="C33" s="40"/>
      <c r="D33" s="44"/>
      <c r="E33" s="168">
        <f>SUM(E29:E32)</f>
        <v>250000</v>
      </c>
      <c r="F33" s="168">
        <f>SUM(F29:F32)</f>
        <v>0</v>
      </c>
      <c r="G33" s="168">
        <f>SUM(G29:G32)</f>
        <v>0</v>
      </c>
      <c r="H33" s="169">
        <f>SUM(H29:H32)</f>
        <v>0</v>
      </c>
      <c r="I33" s="31"/>
      <c r="J33" s="31"/>
    </row>
    <row r="34" spans="1:10" ht="18" customHeight="1">
      <c r="A34" s="62" t="s">
        <v>6</v>
      </c>
      <c r="B34" s="19"/>
      <c r="C34" s="19"/>
      <c r="D34" s="19"/>
      <c r="E34" s="24"/>
      <c r="F34" s="24"/>
      <c r="G34" s="24"/>
      <c r="H34" s="24"/>
      <c r="I34" s="31"/>
      <c r="J34" s="31"/>
    </row>
    <row r="35" spans="1:10" ht="13.5">
      <c r="A35" s="19"/>
      <c r="C35" s="19"/>
      <c r="D35" s="19"/>
      <c r="E35" s="24"/>
      <c r="F35" s="24"/>
      <c r="G35" s="24"/>
      <c r="H35" s="24"/>
      <c r="I35" s="31"/>
      <c r="J35" s="31"/>
    </row>
    <row r="36" spans="1:10" ht="13.5">
      <c r="A36" s="63" t="s">
        <v>19</v>
      </c>
      <c r="C36" s="19"/>
      <c r="D36" s="19"/>
      <c r="E36" s="24"/>
      <c r="F36" s="24"/>
      <c r="G36" s="24"/>
      <c r="H36" s="24"/>
      <c r="I36" s="31"/>
      <c r="J36" s="31"/>
    </row>
    <row r="37" spans="1:8" ht="13.5">
      <c r="A37" s="19" t="s">
        <v>95</v>
      </c>
      <c r="C37" s="19"/>
      <c r="D37" s="19"/>
      <c r="E37" s="19"/>
      <c r="F37" s="19"/>
      <c r="G37" s="19"/>
      <c r="H37" s="19"/>
    </row>
    <row r="38" spans="1:8" ht="13.5">
      <c r="A38" s="19"/>
      <c r="B38" s="19"/>
      <c r="C38" s="19"/>
      <c r="D38" s="19"/>
      <c r="E38" s="24"/>
      <c r="F38" s="24"/>
      <c r="G38" s="24"/>
      <c r="H38" s="24"/>
    </row>
    <row r="40" ht="12.75">
      <c r="A40" s="64" t="s">
        <v>20</v>
      </c>
    </row>
    <row r="41" ht="13.5">
      <c r="A41" s="19" t="s">
        <v>96</v>
      </c>
    </row>
    <row r="42" ht="13.5">
      <c r="A42" s="19" t="s">
        <v>97</v>
      </c>
    </row>
  </sheetData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4">
      <selection activeCell="A22" sqref="A22"/>
    </sheetView>
  </sheetViews>
  <sheetFormatPr defaultColWidth="9.140625" defaultRowHeight="12.75"/>
  <cols>
    <col min="1" max="1" width="26.7109375" style="0" customWidth="1"/>
    <col min="2" max="2" width="6.421875" style="0" bestFit="1" customWidth="1"/>
    <col min="3" max="3" width="10.8515625" style="0" bestFit="1" customWidth="1"/>
    <col min="4" max="4" width="12.8515625" style="0" bestFit="1" customWidth="1"/>
    <col min="5" max="5" width="18.00390625" style="0" bestFit="1" customWidth="1"/>
    <col min="6" max="6" width="11.28125" style="0" bestFit="1" customWidth="1"/>
    <col min="7" max="7" width="12.8515625" style="0" bestFit="1" customWidth="1"/>
  </cols>
  <sheetData>
    <row r="1" ht="18">
      <c r="A1" s="153" t="s">
        <v>47</v>
      </c>
    </row>
    <row r="3" spans="1:7" s="154" customFormat="1" ht="12.75">
      <c r="A3" s="154" t="s">
        <v>48</v>
      </c>
      <c r="B3" s="154" t="s">
        <v>49</v>
      </c>
      <c r="C3" s="154" t="s">
        <v>50</v>
      </c>
      <c r="D3" s="154" t="s">
        <v>51</v>
      </c>
      <c r="E3" s="154" t="s">
        <v>52</v>
      </c>
      <c r="F3" s="154" t="s">
        <v>53</v>
      </c>
      <c r="G3" s="154" t="s">
        <v>54</v>
      </c>
    </row>
    <row r="4" spans="1:9" ht="12.75">
      <c r="A4" s="155" t="s">
        <v>55</v>
      </c>
      <c r="B4" s="155" t="s">
        <v>56</v>
      </c>
      <c r="C4" s="156">
        <f>SUM(D4:G4)</f>
        <v>7339474.859999999</v>
      </c>
      <c r="D4" s="156">
        <f>+'[1]Share per COE'!C9</f>
        <v>1393231.186416667</v>
      </c>
      <c r="E4" s="156">
        <f>+'[1]Share per COE'!D9</f>
        <v>1079831.4964166668</v>
      </c>
      <c r="F4" s="156">
        <f>+'[1]Share per COE'!E9</f>
        <v>865085.6666666666</v>
      </c>
      <c r="G4" s="156">
        <f>+'[1]Share per COE'!B9</f>
        <v>4001326.5104999994</v>
      </c>
      <c r="H4" s="156"/>
      <c r="I4" s="156"/>
    </row>
    <row r="5" spans="1:9" ht="12.75">
      <c r="A5" s="155" t="s">
        <v>57</v>
      </c>
      <c r="B5" s="156"/>
      <c r="C5" s="156">
        <f>SUM(D5:G5)</f>
        <v>0</v>
      </c>
      <c r="D5" s="156"/>
      <c r="E5" s="156"/>
      <c r="F5" s="156"/>
      <c r="G5" s="156"/>
      <c r="H5" s="156"/>
      <c r="I5" s="156"/>
    </row>
    <row r="6" spans="1:9" ht="12.75">
      <c r="A6" s="157" t="s">
        <v>58</v>
      </c>
      <c r="B6" s="156"/>
      <c r="C6" s="156">
        <f>SUM(D6:G6)</f>
        <v>-1368292.78</v>
      </c>
      <c r="D6" s="156">
        <f>-'[1]ARMS'!G21+'[1]ARMS'!D21-33333</f>
        <v>-453392.78</v>
      </c>
      <c r="E6" s="156">
        <f>-'[1]Share per COE'!D18-'[1]Share per COE'!D19</f>
        <v>-66300</v>
      </c>
      <c r="F6" s="156">
        <v>-208600</v>
      </c>
      <c r="G6" s="156">
        <f>-'[1]Expenses'!B8</f>
        <v>-640000</v>
      </c>
      <c r="H6" s="156"/>
      <c r="I6" s="156"/>
    </row>
    <row r="7" spans="1:9" ht="12.75">
      <c r="A7" s="157" t="s">
        <v>59</v>
      </c>
      <c r="B7" s="156"/>
      <c r="C7" s="156">
        <f>SUM(D7:G7)</f>
        <v>-19309.359999999986</v>
      </c>
      <c r="D7" s="156">
        <f>-'[1]ARMS'!G21-D6</f>
        <v>-19309.359999999986</v>
      </c>
      <c r="E7" s="156"/>
      <c r="F7" s="156"/>
      <c r="G7" s="156"/>
      <c r="H7" s="156"/>
      <c r="I7" s="156"/>
    </row>
    <row r="8" spans="1:9" ht="12.75">
      <c r="A8" s="157" t="s">
        <v>60</v>
      </c>
      <c r="B8" s="155" t="s">
        <v>61</v>
      </c>
      <c r="C8" s="156">
        <f>SUM(D8:G8)</f>
        <v>-307276.32999999996</v>
      </c>
      <c r="D8" s="155">
        <f>-'[1]ARMS'!G22</f>
        <v>-158457.32999999996</v>
      </c>
      <c r="E8" s="155">
        <f>-'[1]Expenses'!D8-'FN Attachment'!E6</f>
        <v>-33700</v>
      </c>
      <c r="F8" s="156">
        <f>-'[1]Expenses'!E11-'FN Attachment'!F6</f>
        <v>-115119</v>
      </c>
      <c r="G8" s="156">
        <v>0</v>
      </c>
      <c r="H8" s="156"/>
      <c r="I8" s="156"/>
    </row>
    <row r="9" spans="1:9" ht="12.75">
      <c r="A9" s="157"/>
      <c r="B9" s="155"/>
      <c r="C9" s="156"/>
      <c r="D9" s="155"/>
      <c r="E9" s="155"/>
      <c r="F9" s="156"/>
      <c r="G9" s="156"/>
      <c r="H9" s="156"/>
      <c r="I9" s="156"/>
    </row>
    <row r="10" spans="1:9" ht="12.75">
      <c r="A10" s="155" t="s">
        <v>62</v>
      </c>
      <c r="B10" s="156"/>
      <c r="C10" s="156">
        <f>SUM(C4:C9)</f>
        <v>5644596.389999999</v>
      </c>
      <c r="D10" s="156">
        <f>SUM(D4:D9)</f>
        <v>762071.716416667</v>
      </c>
      <c r="E10" s="156">
        <f>SUM(E4:E9)</f>
        <v>979831.4964166668</v>
      </c>
      <c r="F10" s="156">
        <f>SUM(F4:F9)</f>
        <v>541366.6666666666</v>
      </c>
      <c r="G10" s="156">
        <f>SUM(G4:G9)</f>
        <v>3361326.5104999994</v>
      </c>
      <c r="H10" s="156"/>
      <c r="I10" s="156"/>
    </row>
    <row r="11" spans="1:9" ht="12.75">
      <c r="A11" s="155" t="s">
        <v>63</v>
      </c>
      <c r="B11" s="156"/>
      <c r="C11" s="156">
        <f>SUM(D11:G11)</f>
        <v>-558033.3333333333</v>
      </c>
      <c r="D11" s="156"/>
      <c r="E11" s="156">
        <f>-'[1]Expenses'!D31+'[1]Expenses'!D8</f>
        <v>-83333.33333333334</v>
      </c>
      <c r="F11" s="156">
        <f>-F10+'[1]Share per COE'!E25</f>
        <v>-474699.99999999994</v>
      </c>
      <c r="G11" s="156"/>
      <c r="H11" s="156"/>
      <c r="I11" s="156"/>
    </row>
    <row r="12" spans="1:9" ht="12.75">
      <c r="A12" s="155" t="s">
        <v>64</v>
      </c>
      <c r="B12" s="155" t="s">
        <v>65</v>
      </c>
      <c r="C12" s="156">
        <f>SUM(D12:G12)</f>
        <v>-511000</v>
      </c>
      <c r="D12" s="156">
        <v>-511000</v>
      </c>
      <c r="E12" s="156"/>
      <c r="F12" s="156"/>
      <c r="G12" s="156"/>
      <c r="H12" s="156"/>
      <c r="I12" s="156"/>
    </row>
    <row r="13" spans="1:9" ht="13.5" thickBot="1">
      <c r="A13" s="158" t="s">
        <v>66</v>
      </c>
      <c r="B13" s="158"/>
      <c r="C13" s="158">
        <f>SUM(C10:C12)</f>
        <v>4575563.056666666</v>
      </c>
      <c r="D13" s="158">
        <f>SUM(D10:D12)</f>
        <v>251071.71641666698</v>
      </c>
      <c r="E13" s="158">
        <f>SUM(E10:E12)</f>
        <v>896498.1630833334</v>
      </c>
      <c r="F13" s="158">
        <f>SUM(F10:F12)</f>
        <v>66666.66666666669</v>
      </c>
      <c r="G13" s="158">
        <f>SUM(G10:G12)</f>
        <v>3361326.5104999994</v>
      </c>
      <c r="H13" s="156"/>
      <c r="I13" s="156"/>
    </row>
    <row r="14" spans="1:9" s="161" customFormat="1" ht="13.5" thickTop="1">
      <c r="A14" s="159" t="s">
        <v>67</v>
      </c>
      <c r="B14" s="159"/>
      <c r="C14" s="159">
        <f>SUM(D14:G14)</f>
        <v>-213000</v>
      </c>
      <c r="D14" s="159"/>
      <c r="E14" s="159">
        <f>-(0.175*150000+(328500-150000)/2)</f>
        <v>-115500</v>
      </c>
      <c r="F14" s="159"/>
      <c r="G14" s="159">
        <f>-0.65*150000</f>
        <v>-97500</v>
      </c>
      <c r="H14" s="160"/>
      <c r="I14" s="160"/>
    </row>
    <row r="15" spans="1:9" s="161" customFormat="1" ht="13.5" thickBot="1">
      <c r="A15" s="162" t="s">
        <v>68</v>
      </c>
      <c r="B15" s="162"/>
      <c r="C15" s="162">
        <f>SUM(C13:C14)</f>
        <v>4362563.056666666</v>
      </c>
      <c r="D15" s="162">
        <f>SUM(D13:D14)</f>
        <v>251071.71641666698</v>
      </c>
      <c r="E15" s="162">
        <f>SUM(E13:E14)</f>
        <v>780998.1630833334</v>
      </c>
      <c r="F15" s="162">
        <f>SUM(F13:F14)</f>
        <v>66666.66666666669</v>
      </c>
      <c r="G15" s="162">
        <f>SUM(G13:G14)</f>
        <v>3263826.5104999994</v>
      </c>
      <c r="H15" s="160"/>
      <c r="I15" s="160"/>
    </row>
    <row r="16" spans="1:9" s="161" customFormat="1" ht="13.5" thickTop="1">
      <c r="A16" s="159" t="s">
        <v>75</v>
      </c>
      <c r="B16" s="159"/>
      <c r="C16" s="159">
        <f>SUM(D16:G16)</f>
        <v>235639.60161666668</v>
      </c>
      <c r="D16" s="159">
        <f>+D4*0.1</f>
        <v>139323.1186416667</v>
      </c>
      <c r="E16" s="159">
        <f>+E13*0.1</f>
        <v>89649.81630833335</v>
      </c>
      <c r="F16" s="159">
        <f>+F13*0.1</f>
        <v>6666.666666666669</v>
      </c>
      <c r="G16" s="159"/>
      <c r="H16" s="160"/>
      <c r="I16" s="160"/>
    </row>
    <row r="17" spans="1:9" s="154" customFormat="1" ht="13.5" thickBot="1">
      <c r="A17" s="158" t="s">
        <v>69</v>
      </c>
      <c r="B17" s="158"/>
      <c r="C17" s="158">
        <f>SUM(C15:C16)</f>
        <v>4598202.658283332</v>
      </c>
      <c r="D17" s="158">
        <f>SUM(D15:D16)</f>
        <v>390394.8350583337</v>
      </c>
      <c r="E17" s="158">
        <f>SUM(E15:E16)</f>
        <v>870647.9793916667</v>
      </c>
      <c r="F17" s="158">
        <f>SUM(F15:F16)</f>
        <v>73333.33333333336</v>
      </c>
      <c r="G17" s="158">
        <f>SUM(G15:G16)</f>
        <v>3263826.5104999994</v>
      </c>
      <c r="H17" s="163"/>
      <c r="I17" s="163"/>
    </row>
    <row r="18" spans="1:9" s="154" customFormat="1" ht="13.5" thickTop="1">
      <c r="A18" s="164" t="s">
        <v>74</v>
      </c>
      <c r="B18" s="164"/>
      <c r="C18" s="164">
        <f>SUM(D18:E18)</f>
        <v>1334376.147783334</v>
      </c>
      <c r="D18" s="164">
        <f>D17</f>
        <v>390394.8350583337</v>
      </c>
      <c r="E18" s="164">
        <f>+E17+F17</f>
        <v>943981.3127250001</v>
      </c>
      <c r="F18" s="159" t="s">
        <v>70</v>
      </c>
      <c r="G18" s="164"/>
      <c r="H18" s="163"/>
      <c r="I18" s="163"/>
    </row>
    <row r="19" spans="1:9" ht="12.75">
      <c r="A19" s="156"/>
      <c r="B19" s="156"/>
      <c r="C19" s="155"/>
      <c r="D19" s="156"/>
      <c r="E19" s="155"/>
      <c r="F19" s="155"/>
      <c r="G19" s="156"/>
      <c r="H19" s="156"/>
      <c r="I19" s="156"/>
    </row>
    <row r="20" spans="1:9" ht="12.75">
      <c r="A20" s="165" t="s">
        <v>71</v>
      </c>
      <c r="B20" s="156"/>
      <c r="C20" s="156"/>
      <c r="D20" s="156"/>
      <c r="E20" s="156"/>
      <c r="F20" s="156"/>
      <c r="G20" s="156"/>
      <c r="H20" s="156"/>
      <c r="I20" s="156"/>
    </row>
    <row r="21" spans="1:9" ht="12.75">
      <c r="A21" s="155" t="s">
        <v>72</v>
      </c>
      <c r="B21" s="156"/>
      <c r="C21" s="156"/>
      <c r="D21" s="156"/>
      <c r="E21" s="156"/>
      <c r="F21" s="156"/>
      <c r="G21" s="156"/>
      <c r="H21" s="156"/>
      <c r="I21" s="156"/>
    </row>
    <row r="22" spans="1:9" ht="12.75">
      <c r="A22" s="155" t="s">
        <v>73</v>
      </c>
      <c r="B22" s="156"/>
      <c r="C22" s="156"/>
      <c r="D22" s="156"/>
      <c r="E22" s="156"/>
      <c r="F22" s="156"/>
      <c r="G22" s="156"/>
      <c r="H22" s="156"/>
      <c r="I22" s="156"/>
    </row>
    <row r="23" spans="1:9" ht="12.75">
      <c r="A23" s="155" t="s">
        <v>76</v>
      </c>
      <c r="B23" s="156"/>
      <c r="C23" s="156"/>
      <c r="D23" s="156"/>
      <c r="E23" s="156"/>
      <c r="F23" s="156"/>
      <c r="G23" s="156"/>
      <c r="H23" s="156"/>
      <c r="I23" s="156"/>
    </row>
    <row r="24" spans="1:9" ht="12.75">
      <c r="A24" s="155" t="s">
        <v>77</v>
      </c>
      <c r="B24" s="156"/>
      <c r="C24" s="156"/>
      <c r="D24" s="156"/>
      <c r="E24" s="156"/>
      <c r="F24" s="156"/>
      <c r="G24" s="156"/>
      <c r="H24" s="156"/>
      <c r="I24" s="156"/>
    </row>
    <row r="25" spans="1:9" ht="12.75">
      <c r="A25" s="155" t="s">
        <v>78</v>
      </c>
      <c r="B25" s="156"/>
      <c r="C25" s="156"/>
      <c r="D25" s="156"/>
      <c r="E25" s="156"/>
      <c r="F25" s="156"/>
      <c r="G25" s="156"/>
      <c r="H25" s="156"/>
      <c r="I25" s="156"/>
    </row>
    <row r="26" spans="1:9" ht="12.75">
      <c r="A26" s="156"/>
      <c r="B26" s="156"/>
      <c r="C26" s="156"/>
      <c r="D26" s="156"/>
      <c r="E26" s="156"/>
      <c r="F26" s="156"/>
      <c r="G26" s="156"/>
      <c r="H26" s="156"/>
      <c r="I26" s="156"/>
    </row>
    <row r="27" spans="1:9" ht="12.75">
      <c r="A27" s="156"/>
      <c r="B27" s="156"/>
      <c r="C27" s="156"/>
      <c r="D27" s="156"/>
      <c r="E27" s="156"/>
      <c r="F27" s="156"/>
      <c r="G27" s="156"/>
      <c r="H27" s="156"/>
      <c r="I27" s="156"/>
    </row>
    <row r="28" spans="1:9" ht="12.75">
      <c r="A28" s="156"/>
      <c r="B28" s="156"/>
      <c r="C28" s="156"/>
      <c r="D28" s="156"/>
      <c r="E28" s="156"/>
      <c r="F28" s="156"/>
      <c r="G28" s="156"/>
      <c r="H28" s="156"/>
      <c r="I28" s="156"/>
    </row>
    <row r="29" spans="1:9" ht="12.75">
      <c r="A29" s="156"/>
      <c r="B29" s="156"/>
      <c r="C29" s="156"/>
      <c r="D29" s="156"/>
      <c r="E29" s="156"/>
      <c r="F29" s="156"/>
      <c r="G29" s="156"/>
      <c r="H29" s="156"/>
      <c r="I29" s="156"/>
    </row>
    <row r="30" spans="1:9" ht="12.75">
      <c r="A30" s="156"/>
      <c r="B30" s="156"/>
      <c r="C30" s="156"/>
      <c r="D30" s="156"/>
      <c r="E30" s="156"/>
      <c r="F30" s="156"/>
      <c r="G30" s="156"/>
      <c r="H30" s="156"/>
      <c r="I30" s="156"/>
    </row>
    <row r="31" spans="1:9" ht="12.75">
      <c r="A31" s="156"/>
      <c r="B31" s="156"/>
      <c r="C31" s="156"/>
      <c r="D31" s="156"/>
      <c r="E31" s="156"/>
      <c r="F31" s="156"/>
      <c r="G31" s="156"/>
      <c r="H31" s="156"/>
      <c r="I31" s="156"/>
    </row>
    <row r="32" spans="1:9" ht="12.75">
      <c r="A32" s="156"/>
      <c r="B32" s="156"/>
      <c r="C32" s="156"/>
      <c r="D32" s="156"/>
      <c r="E32" s="156"/>
      <c r="F32" s="156"/>
      <c r="G32" s="156"/>
      <c r="H32" s="156"/>
      <c r="I32" s="156"/>
    </row>
    <row r="33" spans="1:9" ht="12.75">
      <c r="A33" s="156"/>
      <c r="B33" s="156"/>
      <c r="C33" s="156"/>
      <c r="D33" s="156"/>
      <c r="E33" s="156"/>
      <c r="F33" s="156"/>
      <c r="G33" s="156"/>
      <c r="H33" s="156"/>
      <c r="I33" s="156"/>
    </row>
    <row r="34" spans="1:9" ht="12.75">
      <c r="A34" s="156"/>
      <c r="B34" s="156"/>
      <c r="C34" s="156"/>
      <c r="D34" s="156"/>
      <c r="E34" s="156"/>
      <c r="F34" s="156"/>
      <c r="G34" s="156"/>
      <c r="H34" s="156"/>
      <c r="I34" s="156"/>
    </row>
    <row r="35" spans="1:9" ht="12.75">
      <c r="A35" s="156"/>
      <c r="B35" s="156"/>
      <c r="C35" s="156"/>
      <c r="D35" s="156"/>
      <c r="E35" s="156"/>
      <c r="F35" s="156"/>
      <c r="G35" s="156"/>
      <c r="H35" s="156"/>
      <c r="I35" s="156"/>
    </row>
    <row r="36" spans="1:9" ht="12.75">
      <c r="A36" s="156"/>
      <c r="B36" s="156"/>
      <c r="C36" s="156"/>
      <c r="D36" s="156"/>
      <c r="E36" s="156"/>
      <c r="F36" s="156"/>
      <c r="G36" s="156"/>
      <c r="H36" s="156"/>
      <c r="I36" s="156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&amp;LPrinted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6"/>
  <sheetViews>
    <sheetView zoomScale="75" zoomScaleNormal="75" workbookViewId="0" topLeftCell="A15">
      <selection activeCell="A24" sqref="A24"/>
    </sheetView>
  </sheetViews>
  <sheetFormatPr defaultColWidth="9.140625" defaultRowHeight="12.75"/>
  <cols>
    <col min="1" max="1" width="43.7109375" style="148" customWidth="1"/>
    <col min="2" max="2" width="20.8515625" style="65" customWidth="1"/>
    <col min="3" max="3" width="15.421875" style="77" hidden="1" customWidth="1"/>
    <col min="4" max="4" width="16.28125" style="65" hidden="1" customWidth="1"/>
    <col min="5" max="5" width="19.7109375" style="65" customWidth="1"/>
    <col min="6" max="6" width="20.7109375" style="65" customWidth="1"/>
    <col min="7" max="7" width="19.7109375" style="29" customWidth="1"/>
    <col min="8" max="8" width="18.7109375" style="29" customWidth="1"/>
    <col min="9" max="9" width="17.7109375" style="0" customWidth="1"/>
  </cols>
  <sheetData>
    <row r="1" spans="1:8" s="29" customFormat="1" ht="19.5" customHeight="1">
      <c r="A1" s="67" t="s">
        <v>21</v>
      </c>
      <c r="B1" s="68"/>
      <c r="C1" s="68"/>
      <c r="D1" s="68"/>
      <c r="E1" s="68"/>
      <c r="F1" s="68"/>
      <c r="G1" s="68"/>
      <c r="H1" s="66"/>
    </row>
    <row r="2" spans="1:20" s="73" customFormat="1" ht="15.75">
      <c r="A2" s="67" t="s">
        <v>22</v>
      </c>
      <c r="B2" s="69"/>
      <c r="C2" s="69"/>
      <c r="D2" s="69"/>
      <c r="E2" s="69"/>
      <c r="F2" s="69"/>
      <c r="G2" s="70"/>
      <c r="H2" s="69"/>
      <c r="I2" s="71"/>
      <c r="J2" s="71"/>
      <c r="K2" s="71"/>
      <c r="L2" s="72"/>
      <c r="M2" s="72"/>
      <c r="N2" s="72"/>
      <c r="O2" s="72"/>
      <c r="P2" s="72"/>
      <c r="Q2" s="72"/>
      <c r="R2" s="72"/>
      <c r="S2" s="72"/>
      <c r="T2" s="72"/>
    </row>
    <row r="3" spans="1:20" s="73" customFormat="1" ht="15.75">
      <c r="A3" s="67" t="s">
        <v>23</v>
      </c>
      <c r="B3" s="69"/>
      <c r="C3" s="69"/>
      <c r="D3" s="69"/>
      <c r="E3" s="69"/>
      <c r="F3" s="74"/>
      <c r="G3" s="70"/>
      <c r="H3" s="69"/>
      <c r="I3" s="71"/>
      <c r="J3" s="71"/>
      <c r="K3" s="71"/>
      <c r="L3" s="72"/>
      <c r="M3" s="72"/>
      <c r="N3" s="72"/>
      <c r="O3" s="72"/>
      <c r="P3" s="72"/>
      <c r="Q3" s="72"/>
      <c r="R3" s="72"/>
      <c r="S3" s="72"/>
      <c r="T3" s="72"/>
    </row>
    <row r="4" spans="1:8" ht="9" customHeight="1">
      <c r="A4" s="75"/>
      <c r="B4" s="76"/>
      <c r="E4" s="66"/>
      <c r="F4" s="78"/>
      <c r="H4" s="78"/>
    </row>
    <row r="5" spans="1:9" s="86" customFormat="1" ht="33" customHeight="1">
      <c r="A5" s="79" t="s">
        <v>24</v>
      </c>
      <c r="B5" s="80" t="s">
        <v>81</v>
      </c>
      <c r="C5" s="81" t="s">
        <v>25</v>
      </c>
      <c r="D5" s="82" t="s">
        <v>26</v>
      </c>
      <c r="E5" s="83" t="s">
        <v>82</v>
      </c>
      <c r="F5" s="84" t="s">
        <v>27</v>
      </c>
      <c r="G5" s="85" t="s">
        <v>28</v>
      </c>
      <c r="H5" s="85" t="s">
        <v>79</v>
      </c>
      <c r="I5" s="85" t="s">
        <v>80</v>
      </c>
    </row>
    <row r="6" spans="1:9" s="93" customFormat="1" ht="15.75">
      <c r="A6" s="87" t="s">
        <v>29</v>
      </c>
      <c r="B6" s="88">
        <v>290761</v>
      </c>
      <c r="C6" s="89">
        <v>336096</v>
      </c>
      <c r="D6" s="89">
        <v>628251</v>
      </c>
      <c r="E6" s="90">
        <f>+D6</f>
        <v>628251</v>
      </c>
      <c r="F6" s="91">
        <v>662499</v>
      </c>
      <c r="G6" s="92">
        <f>E31</f>
        <v>769423</v>
      </c>
      <c r="H6" s="92">
        <f>G31</f>
        <v>284405</v>
      </c>
      <c r="I6" s="92">
        <f>H31</f>
        <v>271963.20999999996</v>
      </c>
    </row>
    <row r="7" spans="1:9" s="99" customFormat="1" ht="15.75">
      <c r="A7" s="94" t="s">
        <v>30</v>
      </c>
      <c r="B7" s="95"/>
      <c r="C7" s="96"/>
      <c r="D7" s="96"/>
      <c r="E7" s="97"/>
      <c r="F7" s="98"/>
      <c r="G7" s="97"/>
      <c r="H7" s="97"/>
      <c r="I7" s="97"/>
    </row>
    <row r="8" spans="1:9" s="99" customFormat="1" ht="15.75">
      <c r="A8" s="100" t="s">
        <v>83</v>
      </c>
      <c r="B8" s="95">
        <v>2358647</v>
      </c>
      <c r="C8" s="96">
        <v>2359624</v>
      </c>
      <c r="D8" s="96">
        <v>2359624</v>
      </c>
      <c r="E8" s="96">
        <f>2423472+2560</f>
        <v>2426032</v>
      </c>
      <c r="F8" s="101">
        <v>2383322</v>
      </c>
      <c r="G8" s="102">
        <v>2498521</v>
      </c>
      <c r="H8" s="102">
        <f>G8*1.01</f>
        <v>2523506.21</v>
      </c>
      <c r="I8" s="102">
        <f>H8*1.01</f>
        <v>2548741.2721</v>
      </c>
    </row>
    <row r="9" spans="1:9" s="99" customFormat="1" ht="15.75">
      <c r="A9" s="100" t="s">
        <v>84</v>
      </c>
      <c r="B9" s="95">
        <v>1300812</v>
      </c>
      <c r="C9" s="96">
        <f>1324610+10720</f>
        <v>1335330</v>
      </c>
      <c r="D9" s="96">
        <f>1335330+13744</f>
        <v>1349074</v>
      </c>
      <c r="E9" s="96">
        <f>3522495-E8-E10+37180</f>
        <v>1133643</v>
      </c>
      <c r="F9" s="101">
        <v>1535544</v>
      </c>
      <c r="G9" s="102">
        <v>1535544</v>
      </c>
      <c r="H9" s="102">
        <v>1361680</v>
      </c>
      <c r="I9" s="102">
        <v>889850</v>
      </c>
    </row>
    <row r="10" spans="1:9" s="99" customFormat="1" ht="15.75">
      <c r="A10" s="100" t="s">
        <v>31</v>
      </c>
      <c r="B10" s="95"/>
      <c r="C10" s="96"/>
      <c r="D10" s="96">
        <v>26400</v>
      </c>
      <c r="E10" s="96">
        <v>0</v>
      </c>
      <c r="F10" s="101">
        <f>+E10-C10</f>
        <v>0</v>
      </c>
      <c r="G10" s="102"/>
      <c r="H10" s="102"/>
      <c r="I10" s="102"/>
    </row>
    <row r="11" spans="1:9" s="99" customFormat="1" ht="15.75">
      <c r="A11" s="100" t="s">
        <v>32</v>
      </c>
      <c r="B11" s="95"/>
      <c r="C11" s="96"/>
      <c r="D11" s="96"/>
      <c r="E11" s="96">
        <v>31131</v>
      </c>
      <c r="F11" s="101">
        <v>0</v>
      </c>
      <c r="G11" s="102"/>
      <c r="H11" s="102"/>
      <c r="I11" s="102"/>
    </row>
    <row r="12" spans="1:9" s="99" customFormat="1" ht="15.75">
      <c r="A12" s="100"/>
      <c r="B12" s="95"/>
      <c r="C12" s="96"/>
      <c r="D12" s="96"/>
      <c r="E12" s="96"/>
      <c r="F12" s="101">
        <f>+E12-C12</f>
        <v>0</v>
      </c>
      <c r="G12" s="102"/>
      <c r="H12" s="102"/>
      <c r="I12" s="102"/>
    </row>
    <row r="13" spans="1:9" s="99" customFormat="1" ht="15.75">
      <c r="A13" s="100"/>
      <c r="B13" s="95"/>
      <c r="C13" s="96"/>
      <c r="D13" s="96"/>
      <c r="E13" s="96">
        <f>+C13-D13</f>
        <v>0</v>
      </c>
      <c r="F13" s="101">
        <f>+E13-C13</f>
        <v>0</v>
      </c>
      <c r="G13" s="102"/>
      <c r="H13" s="102"/>
      <c r="I13" s="102"/>
    </row>
    <row r="14" spans="1:9" s="99" customFormat="1" ht="15.75">
      <c r="A14" s="100"/>
      <c r="B14" s="95"/>
      <c r="C14" s="96"/>
      <c r="D14" s="96"/>
      <c r="E14" s="96"/>
      <c r="F14" s="101">
        <f>+E14-C14</f>
        <v>0</v>
      </c>
      <c r="G14" s="102"/>
      <c r="H14" s="102"/>
      <c r="I14" s="102"/>
    </row>
    <row r="15" spans="1:9" s="93" customFormat="1" ht="15.75">
      <c r="A15" s="87" t="s">
        <v>33</v>
      </c>
      <c r="B15" s="88">
        <f>SUM(B7:B14)</f>
        <v>3659459</v>
      </c>
      <c r="C15" s="88">
        <f aca="true" t="shared" si="0" ref="C15:I15">SUM(C8:C14)</f>
        <v>3694954</v>
      </c>
      <c r="D15" s="88">
        <f t="shared" si="0"/>
        <v>3735098</v>
      </c>
      <c r="E15" s="88">
        <f t="shared" si="0"/>
        <v>3590806</v>
      </c>
      <c r="F15" s="88">
        <f t="shared" si="0"/>
        <v>3918866</v>
      </c>
      <c r="G15" s="88">
        <f t="shared" si="0"/>
        <v>4034065</v>
      </c>
      <c r="H15" s="88">
        <f t="shared" si="0"/>
        <v>3885186.21</v>
      </c>
      <c r="I15" s="88">
        <f t="shared" si="0"/>
        <v>3438591.2721</v>
      </c>
    </row>
    <row r="16" spans="1:9" s="99" customFormat="1" ht="15.75">
      <c r="A16" s="94" t="s">
        <v>20</v>
      </c>
      <c r="B16" s="95"/>
      <c r="C16" s="96"/>
      <c r="D16" s="96"/>
      <c r="E16" s="102"/>
      <c r="F16" s="101"/>
      <c r="G16" s="97"/>
      <c r="H16" s="97"/>
      <c r="I16" s="97"/>
    </row>
    <row r="17" spans="1:9" s="99" customFormat="1" ht="15.75">
      <c r="A17" s="100" t="s">
        <v>34</v>
      </c>
      <c r="B17" s="95">
        <v>-3321969</v>
      </c>
      <c r="C17" s="96">
        <v>-3597791</v>
      </c>
      <c r="D17" s="96">
        <v>-3597791</v>
      </c>
      <c r="E17" s="96">
        <v>-3373206</v>
      </c>
      <c r="F17" s="101">
        <v>-4454083</v>
      </c>
      <c r="G17" s="103">
        <v>-4454083</v>
      </c>
      <c r="H17" s="103">
        <v>-4047628</v>
      </c>
      <c r="I17" s="103">
        <v>-3619853</v>
      </c>
    </row>
    <row r="18" spans="1:9" s="99" customFormat="1" ht="15.75">
      <c r="A18" s="100" t="s">
        <v>35</v>
      </c>
      <c r="B18" s="95"/>
      <c r="C18" s="96"/>
      <c r="D18" s="96">
        <v>-168058</v>
      </c>
      <c r="E18" s="96">
        <v>0</v>
      </c>
      <c r="F18" s="101">
        <f>+E18-C18</f>
        <v>0</v>
      </c>
      <c r="G18" s="103"/>
      <c r="H18" s="103"/>
      <c r="I18" s="103"/>
    </row>
    <row r="19" spans="1:9" s="99" customFormat="1" ht="15.75">
      <c r="A19" s="100" t="s">
        <v>46</v>
      </c>
      <c r="B19" s="95"/>
      <c r="C19" s="104"/>
      <c r="D19" s="96"/>
      <c r="E19" s="96"/>
      <c r="F19" s="101"/>
      <c r="G19" s="103">
        <v>-215000</v>
      </c>
      <c r="H19" s="103">
        <v>0</v>
      </c>
      <c r="I19" s="103">
        <v>0</v>
      </c>
    </row>
    <row r="20" spans="1:9" s="93" customFormat="1" ht="15.75">
      <c r="A20" s="105" t="s">
        <v>36</v>
      </c>
      <c r="B20" s="106">
        <f>SUM(B17:B18)</f>
        <v>-3321969</v>
      </c>
      <c r="C20" s="106">
        <f>SUM(C17:C18)</f>
        <v>-3597791</v>
      </c>
      <c r="D20" s="106">
        <f>SUM(D17:D18)</f>
        <v>-3765849</v>
      </c>
      <c r="E20" s="106">
        <f>SUM(E17:E18)</f>
        <v>-3373206</v>
      </c>
      <c r="F20" s="107">
        <f>SUM(F17:F18)</f>
        <v>-4454083</v>
      </c>
      <c r="G20" s="107">
        <f>SUM(G17:G19)</f>
        <v>-4669083</v>
      </c>
      <c r="H20" s="107">
        <f>SUM(H17:H19)</f>
        <v>-4047628</v>
      </c>
      <c r="I20" s="107">
        <f>SUM(I17:I19)</f>
        <v>-3619853</v>
      </c>
    </row>
    <row r="21" spans="1:9" s="99" customFormat="1" ht="15.75">
      <c r="A21" s="108" t="s">
        <v>37</v>
      </c>
      <c r="B21" s="109"/>
      <c r="C21" s="110">
        <f>-C20*0.01*0</f>
        <v>0</v>
      </c>
      <c r="D21" s="110">
        <f>-D17*0.01*0</f>
        <v>0</v>
      </c>
      <c r="E21" s="111"/>
      <c r="F21" s="112">
        <v>150000</v>
      </c>
      <c r="G21" s="113">
        <v>150000</v>
      </c>
      <c r="H21" s="113">
        <v>150000</v>
      </c>
      <c r="I21" s="113">
        <v>150000</v>
      </c>
    </row>
    <row r="22" spans="1:9" s="99" customFormat="1" ht="15.75">
      <c r="A22" s="114" t="s">
        <v>38</v>
      </c>
      <c r="B22" s="115"/>
      <c r="C22" s="95"/>
      <c r="D22" s="95"/>
      <c r="E22" s="95"/>
      <c r="F22" s="102"/>
      <c r="G22" s="116"/>
      <c r="H22" s="116"/>
      <c r="I22" s="116"/>
    </row>
    <row r="23" spans="1:9" s="99" customFormat="1" ht="15.75">
      <c r="A23" s="114"/>
      <c r="B23" s="115"/>
      <c r="C23" s="95"/>
      <c r="D23" s="95"/>
      <c r="E23" s="95"/>
      <c r="F23" s="102"/>
      <c r="G23" s="116"/>
      <c r="H23" s="116"/>
      <c r="I23" s="116"/>
    </row>
    <row r="24" spans="1:9" s="99" customFormat="1" ht="15.75">
      <c r="A24" s="114"/>
      <c r="B24" s="115"/>
      <c r="C24" s="95"/>
      <c r="D24" s="95"/>
      <c r="E24" s="95"/>
      <c r="F24" s="102"/>
      <c r="G24" s="116"/>
      <c r="H24" s="116"/>
      <c r="I24" s="116"/>
    </row>
    <row r="25" spans="1:9" s="99" customFormat="1" ht="15.75">
      <c r="A25" s="94" t="s">
        <v>39</v>
      </c>
      <c r="B25" s="117"/>
      <c r="C25" s="95"/>
      <c r="D25" s="95"/>
      <c r="E25" s="95"/>
      <c r="F25" s="102"/>
      <c r="G25" s="116"/>
      <c r="H25" s="116"/>
      <c r="I25" s="116"/>
    </row>
    <row r="26" spans="1:102" s="121" customFormat="1" ht="15.75">
      <c r="A26" s="87" t="s">
        <v>40</v>
      </c>
      <c r="B26" s="118">
        <f>+B6+B15+B20+B25</f>
        <v>628251</v>
      </c>
      <c r="C26" s="119">
        <f aca="true" t="shared" si="1" ref="C26:I26">+C6+C15+C20+C21</f>
        <v>433259</v>
      </c>
      <c r="D26" s="119">
        <f t="shared" si="1"/>
        <v>597500</v>
      </c>
      <c r="E26" s="119">
        <f t="shared" si="1"/>
        <v>845851</v>
      </c>
      <c r="F26" s="119">
        <f t="shared" si="1"/>
        <v>277282</v>
      </c>
      <c r="G26" s="119">
        <f t="shared" si="1"/>
        <v>284405</v>
      </c>
      <c r="H26" s="119">
        <f t="shared" si="1"/>
        <v>271963.20999999996</v>
      </c>
      <c r="I26" s="119">
        <f t="shared" si="1"/>
        <v>240701.48210000014</v>
      </c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</row>
    <row r="27" spans="1:9" s="99" customFormat="1" ht="15.75">
      <c r="A27" s="114" t="s">
        <v>41</v>
      </c>
      <c r="B27" s="95">
        <v>0</v>
      </c>
      <c r="C27" s="96">
        <v>0</v>
      </c>
      <c r="D27" s="96">
        <v>0</v>
      </c>
      <c r="E27" s="122">
        <v>0</v>
      </c>
      <c r="F27" s="123"/>
      <c r="G27" s="124"/>
      <c r="H27" s="124"/>
      <c r="I27" s="124"/>
    </row>
    <row r="28" spans="1:9" s="99" customFormat="1" ht="15.75">
      <c r="A28" s="100" t="s">
        <v>42</v>
      </c>
      <c r="B28" s="95">
        <v>-168058</v>
      </c>
      <c r="C28" s="96"/>
      <c r="D28" s="96"/>
      <c r="E28" s="122">
        <f>-121536+45108</f>
        <v>-76428</v>
      </c>
      <c r="F28" s="124"/>
      <c r="G28" s="124"/>
      <c r="H28" s="124"/>
      <c r="I28" s="124"/>
    </row>
    <row r="29" spans="1:9" s="99" customFormat="1" ht="15.75">
      <c r="A29" s="100"/>
      <c r="B29" s="95"/>
      <c r="C29" s="96"/>
      <c r="D29" s="96"/>
      <c r="E29" s="122"/>
      <c r="F29" s="124"/>
      <c r="G29" s="124"/>
      <c r="H29" s="124"/>
      <c r="I29" s="124"/>
    </row>
    <row r="30" spans="1:9" s="93" customFormat="1" ht="15.75">
      <c r="A30" s="114" t="s">
        <v>43</v>
      </c>
      <c r="B30" s="125">
        <f>SUM(B27:B29)</f>
        <v>-168058</v>
      </c>
      <c r="C30" s="126">
        <f>SUM(C27:C29)</f>
        <v>0</v>
      </c>
      <c r="D30" s="126">
        <f>SUM(D27:D29)</f>
        <v>0</v>
      </c>
      <c r="E30" s="127">
        <f>SUM(E27:E29)</f>
        <v>-76428</v>
      </c>
      <c r="F30" s="128"/>
      <c r="G30" s="129"/>
      <c r="H30" s="129"/>
      <c r="I30" s="129"/>
    </row>
    <row r="31" spans="1:9" s="93" customFormat="1" ht="15.75">
      <c r="A31" s="87" t="s">
        <v>44</v>
      </c>
      <c r="B31" s="88">
        <f aca="true" t="shared" si="2" ref="B31:I31">+B26+B30</f>
        <v>460193</v>
      </c>
      <c r="C31" s="89">
        <f t="shared" si="2"/>
        <v>433259</v>
      </c>
      <c r="D31" s="89">
        <f t="shared" si="2"/>
        <v>597500</v>
      </c>
      <c r="E31" s="89">
        <f t="shared" si="2"/>
        <v>769423</v>
      </c>
      <c r="F31" s="89">
        <f t="shared" si="2"/>
        <v>277282</v>
      </c>
      <c r="G31" s="89">
        <f t="shared" si="2"/>
        <v>284405</v>
      </c>
      <c r="H31" s="89">
        <f t="shared" si="2"/>
        <v>271963.20999999996</v>
      </c>
      <c r="I31" s="89">
        <f t="shared" si="2"/>
        <v>240701.48210000014</v>
      </c>
    </row>
    <row r="32" spans="1:9" s="99" customFormat="1" ht="16.5" thickBot="1">
      <c r="A32" s="130" t="s">
        <v>85</v>
      </c>
      <c r="B32" s="131">
        <f>+B15*0.07</f>
        <v>256162.13000000003</v>
      </c>
      <c r="C32" s="110">
        <f>+$C$15*0.07</f>
        <v>258646.78000000003</v>
      </c>
      <c r="D32" s="110">
        <f>+$C$15*0.07</f>
        <v>258646.78000000003</v>
      </c>
      <c r="E32" s="110">
        <f>+$C$15*0.07</f>
        <v>258646.78000000003</v>
      </c>
      <c r="F32" s="132">
        <v>274321</v>
      </c>
      <c r="G32" s="132">
        <v>274322</v>
      </c>
      <c r="H32" s="132">
        <f>(H15*0.07)</f>
        <v>271963.0347</v>
      </c>
      <c r="I32" s="132">
        <f>(I15*0.07)</f>
        <v>240701.38904700003</v>
      </c>
    </row>
    <row r="33" spans="1:9" s="136" customFormat="1" ht="13.5" customHeight="1">
      <c r="A33" s="133" t="s">
        <v>45</v>
      </c>
      <c r="B33" s="134"/>
      <c r="C33" s="135"/>
      <c r="D33" s="134"/>
      <c r="E33" s="134"/>
      <c r="G33" s="134"/>
      <c r="H33" s="134"/>
      <c r="I33" s="134"/>
    </row>
    <row r="34" spans="1:9" s="136" customFormat="1" ht="10.5" customHeight="1">
      <c r="A34" s="136" t="s">
        <v>86</v>
      </c>
      <c r="B34" s="137"/>
      <c r="C34" s="138"/>
      <c r="D34" s="137"/>
      <c r="E34" s="134"/>
      <c r="F34" s="134"/>
      <c r="G34" s="137"/>
      <c r="H34" s="137"/>
      <c r="I34" s="137"/>
    </row>
    <row r="35" spans="1:8" s="136" customFormat="1" ht="14.25" customHeight="1">
      <c r="A35" s="167" t="s">
        <v>87</v>
      </c>
      <c r="B35" s="137"/>
      <c r="C35" s="139"/>
      <c r="D35" s="137"/>
      <c r="E35" s="134"/>
      <c r="F35" s="134"/>
      <c r="G35" s="137"/>
      <c r="H35" s="137"/>
    </row>
    <row r="36" spans="1:8" s="136" customFormat="1" ht="11.25" customHeight="1">
      <c r="A36" s="136" t="s">
        <v>88</v>
      </c>
      <c r="B36" s="134"/>
      <c r="C36" s="140"/>
      <c r="D36" s="134"/>
      <c r="E36" s="134"/>
      <c r="F36" s="134"/>
      <c r="G36" s="141"/>
      <c r="H36" s="137"/>
    </row>
    <row r="37" spans="1:8" s="99" customFormat="1" ht="15" customHeight="1">
      <c r="A37" s="136" t="s">
        <v>89</v>
      </c>
      <c r="B37" s="120"/>
      <c r="C37" s="142"/>
      <c r="D37" s="120"/>
      <c r="E37" s="143"/>
      <c r="F37" s="143"/>
      <c r="G37" s="134"/>
      <c r="H37" s="143"/>
    </row>
    <row r="38" spans="1:8" s="99" customFormat="1" ht="15.75">
      <c r="A38" s="144"/>
      <c r="B38" s="145"/>
      <c r="C38" s="146"/>
      <c r="D38" s="145"/>
      <c r="E38" s="145"/>
      <c r="F38" s="145"/>
      <c r="G38" s="137"/>
      <c r="H38" s="120"/>
    </row>
    <row r="39" spans="1:8" s="99" customFormat="1" ht="15.75">
      <c r="A39" s="147"/>
      <c r="B39" s="145"/>
      <c r="C39" s="146"/>
      <c r="D39" s="145"/>
      <c r="E39" s="145"/>
      <c r="F39" s="145"/>
      <c r="G39" s="137"/>
      <c r="H39" s="120"/>
    </row>
    <row r="40" spans="1:8" s="99" customFormat="1" ht="15.75">
      <c r="A40" s="147"/>
      <c r="B40" s="145"/>
      <c r="C40" s="146"/>
      <c r="D40" s="145"/>
      <c r="E40" s="145"/>
      <c r="F40" s="145"/>
      <c r="G40" s="137"/>
      <c r="H40" s="120"/>
    </row>
    <row r="41" spans="1:8" s="99" customFormat="1" ht="15.75">
      <c r="A41" s="147"/>
      <c r="B41" s="145"/>
      <c r="C41" s="146"/>
      <c r="D41" s="145"/>
      <c r="E41" s="145"/>
      <c r="F41" s="145"/>
      <c r="G41" s="137"/>
      <c r="H41" s="120"/>
    </row>
    <row r="42" spans="1:8" s="99" customFormat="1" ht="15.75">
      <c r="A42" s="147"/>
      <c r="B42" s="145"/>
      <c r="C42" s="146"/>
      <c r="D42" s="145"/>
      <c r="E42" s="145"/>
      <c r="F42" s="145"/>
      <c r="G42" s="137"/>
      <c r="H42" s="120"/>
    </row>
    <row r="43" spans="1:8" s="99" customFormat="1" ht="15.75">
      <c r="A43" s="147"/>
      <c r="B43" s="145"/>
      <c r="C43" s="146"/>
      <c r="D43" s="145"/>
      <c r="E43" s="145"/>
      <c r="F43" s="145"/>
      <c r="G43" s="137"/>
      <c r="H43" s="120"/>
    </row>
    <row r="44" spans="2:8" ht="15">
      <c r="B44" s="149"/>
      <c r="C44" s="150"/>
      <c r="D44" s="149"/>
      <c r="E44" s="149"/>
      <c r="F44" s="149"/>
      <c r="G44" s="151"/>
      <c r="H44" s="152"/>
    </row>
    <row r="45" spans="2:8" ht="15">
      <c r="B45" s="149"/>
      <c r="C45" s="150"/>
      <c r="D45" s="149"/>
      <c r="E45" s="149"/>
      <c r="F45" s="149"/>
      <c r="G45" s="151"/>
      <c r="H45" s="152"/>
    </row>
    <row r="46" spans="2:8" ht="15">
      <c r="B46" s="149"/>
      <c r="C46" s="150"/>
      <c r="D46" s="149"/>
      <c r="E46" s="149"/>
      <c r="F46" s="149"/>
      <c r="G46" s="151"/>
      <c r="H46" s="152"/>
    </row>
    <row r="47" spans="2:8" ht="15">
      <c r="B47" s="149"/>
      <c r="C47" s="150"/>
      <c r="D47" s="149"/>
      <c r="E47" s="149"/>
      <c r="F47" s="149"/>
      <c r="G47" s="151"/>
      <c r="H47" s="152"/>
    </row>
    <row r="48" ht="12.75">
      <c r="G48" s="151"/>
    </row>
    <row r="49" ht="12.75">
      <c r="G49" s="151"/>
    </row>
    <row r="50" ht="12.75">
      <c r="G50" s="151"/>
    </row>
    <row r="51" ht="12.75">
      <c r="G51" s="151"/>
    </row>
    <row r="52" ht="12.75">
      <c r="G52" s="151"/>
    </row>
    <row r="53" ht="12.75">
      <c r="G53" s="151"/>
    </row>
    <row r="54" ht="12.75">
      <c r="G54" s="151"/>
    </row>
    <row r="55" ht="12.75">
      <c r="G55" s="151"/>
    </row>
    <row r="56" ht="12.75">
      <c r="G56" s="151"/>
    </row>
    <row r="57" ht="12.75">
      <c r="G57" s="151"/>
    </row>
    <row r="58" ht="12.75">
      <c r="G58" s="151"/>
    </row>
    <row r="59" ht="12.75">
      <c r="G59" s="151"/>
    </row>
    <row r="60" ht="12.75">
      <c r="G60" s="151"/>
    </row>
    <row r="61" ht="12.75">
      <c r="G61" s="151"/>
    </row>
    <row r="62" ht="12.75">
      <c r="G62" s="151"/>
    </row>
    <row r="63" ht="12.75">
      <c r="G63" s="151"/>
    </row>
    <row r="64" ht="12.75">
      <c r="G64" s="151"/>
    </row>
    <row r="65" ht="12.75">
      <c r="G65" s="151"/>
    </row>
    <row r="66" ht="12.75">
      <c r="G66" s="151"/>
    </row>
    <row r="67" ht="12.75">
      <c r="G67" s="151"/>
    </row>
    <row r="68" ht="12.75">
      <c r="G68" s="151"/>
    </row>
    <row r="69" ht="12.75">
      <c r="G69" s="151"/>
    </row>
    <row r="70" ht="12.75">
      <c r="G70" s="151"/>
    </row>
    <row r="71" ht="12.75">
      <c r="G71" s="151"/>
    </row>
    <row r="72" ht="12.75">
      <c r="G72" s="151"/>
    </row>
    <row r="73" ht="12.75">
      <c r="G73" s="151"/>
    </row>
    <row r="74" ht="12.75">
      <c r="G74" s="151"/>
    </row>
    <row r="75" ht="12.75">
      <c r="G75" s="151"/>
    </row>
    <row r="76" ht="12.75">
      <c r="G76" s="151"/>
    </row>
    <row r="77" ht="12.75">
      <c r="G77" s="151"/>
    </row>
    <row r="78" ht="12.75">
      <c r="G78" s="151"/>
    </row>
    <row r="79" ht="12.75">
      <c r="G79" s="151"/>
    </row>
    <row r="80" ht="12.75">
      <c r="G80" s="151"/>
    </row>
    <row r="81" ht="12.75">
      <c r="G81" s="151"/>
    </row>
    <row r="82" ht="12.75">
      <c r="G82" s="151"/>
    </row>
    <row r="83" ht="12.75">
      <c r="G83" s="151"/>
    </row>
    <row r="84" ht="12.75">
      <c r="G84" s="151"/>
    </row>
    <row r="85" ht="12.75">
      <c r="G85" s="151"/>
    </row>
    <row r="86" ht="12.75">
      <c r="G86" s="151"/>
    </row>
    <row r="87" ht="12.75">
      <c r="G87" s="151"/>
    </row>
    <row r="88" ht="12.75">
      <c r="G88" s="151"/>
    </row>
    <row r="89" ht="12.75">
      <c r="G89" s="151"/>
    </row>
    <row r="90" ht="12.75">
      <c r="G90" s="151"/>
    </row>
    <row r="91" ht="12.75">
      <c r="G91" s="151"/>
    </row>
    <row r="92" ht="12.75">
      <c r="G92" s="151"/>
    </row>
    <row r="93" ht="12.75">
      <c r="G93" s="151"/>
    </row>
    <row r="94" ht="12.75">
      <c r="G94" s="151"/>
    </row>
    <row r="95" ht="12.75">
      <c r="G95" s="151"/>
    </row>
    <row r="96" ht="12.75">
      <c r="G96" s="151"/>
    </row>
    <row r="97" ht="12.75">
      <c r="G97" s="151"/>
    </row>
    <row r="98" ht="12.75">
      <c r="G98" s="151"/>
    </row>
    <row r="99" ht="12.75">
      <c r="G99" s="151"/>
    </row>
    <row r="100" ht="12.75">
      <c r="G100" s="151"/>
    </row>
    <row r="101" ht="12.75">
      <c r="G101" s="151"/>
    </row>
    <row r="102" ht="12.75">
      <c r="G102" s="151"/>
    </row>
    <row r="103" ht="12.75">
      <c r="G103" s="151"/>
    </row>
    <row r="104" ht="12.75">
      <c r="G104" s="151"/>
    </row>
    <row r="105" ht="12.75">
      <c r="G105" s="151"/>
    </row>
    <row r="106" ht="12.75">
      <c r="G106" s="151"/>
    </row>
    <row r="107" ht="12.75">
      <c r="G107" s="151"/>
    </row>
    <row r="108" ht="12.75">
      <c r="G108" s="151"/>
    </row>
    <row r="109" ht="12.75">
      <c r="G109" s="151"/>
    </row>
    <row r="110" ht="12.75">
      <c r="G110" s="151"/>
    </row>
    <row r="111" ht="12.75">
      <c r="G111" s="151"/>
    </row>
    <row r="112" ht="12.75">
      <c r="G112" s="151"/>
    </row>
    <row r="113" ht="12.75">
      <c r="G113" s="151"/>
    </row>
    <row r="114" ht="12.75">
      <c r="G114" s="151"/>
    </row>
    <row r="115" ht="12.75">
      <c r="G115" s="151"/>
    </row>
    <row r="116" ht="12.75">
      <c r="G116" s="151"/>
    </row>
    <row r="117" ht="12.75">
      <c r="G117" s="151"/>
    </row>
    <row r="118" ht="12.75">
      <c r="G118" s="151"/>
    </row>
    <row r="119" ht="12.75">
      <c r="G119" s="151"/>
    </row>
    <row r="120" ht="12.75">
      <c r="G120" s="151"/>
    </row>
    <row r="121" ht="12.75">
      <c r="G121" s="151"/>
    </row>
    <row r="122" ht="12.75">
      <c r="G122" s="151"/>
    </row>
    <row r="123" ht="12.75">
      <c r="G123" s="151"/>
    </row>
    <row r="124" ht="12.75">
      <c r="G124" s="151"/>
    </row>
    <row r="125" ht="12.75">
      <c r="G125" s="151"/>
    </row>
    <row r="126" ht="12.75">
      <c r="G126" s="151"/>
    </row>
    <row r="127" ht="12.75">
      <c r="G127" s="151"/>
    </row>
    <row r="128" ht="12.75">
      <c r="G128" s="151"/>
    </row>
    <row r="129" ht="12.75">
      <c r="G129" s="151"/>
    </row>
    <row r="130" ht="12.75">
      <c r="G130" s="151"/>
    </row>
    <row r="131" ht="12.75">
      <c r="G131" s="151"/>
    </row>
    <row r="132" ht="12.75">
      <c r="G132" s="151"/>
    </row>
    <row r="133" ht="12.75">
      <c r="G133" s="151"/>
    </row>
    <row r="134" ht="12.75">
      <c r="G134" s="151"/>
    </row>
    <row r="135" ht="12.75">
      <c r="G135" s="151"/>
    </row>
    <row r="136" ht="12.75">
      <c r="G136" s="151"/>
    </row>
  </sheetData>
  <printOptions/>
  <pageMargins left="0.75" right="0.75" top="1" bottom="1" header="0.5" footer="0.5"/>
  <pageSetup fitToHeight="2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2005-04-21T18:07:10Z</cp:lastPrinted>
  <dcterms:created xsi:type="dcterms:W3CDTF">1999-06-02T23:29:55Z</dcterms:created>
  <dcterms:modified xsi:type="dcterms:W3CDTF">2005-06-16T14:34:53Z</dcterms:modified>
  <cp:category/>
  <cp:version/>
  <cp:contentType/>
  <cp:contentStatus/>
</cp:coreProperties>
</file>