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9390" windowHeight="4245" activeTab="0"/>
  </bookViews>
  <sheets>
    <sheet name="Fiscal Note" sheetId="1" r:id="rId1"/>
    <sheet name="Revenues" sheetId="2" state="hidden" r:id="rId2"/>
    <sheet name="Expenditures" sheetId="3" state="hidden" r:id="rId3"/>
  </sheets>
  <definedNames>
    <definedName name="_xlnm.Print_Area" localSheetId="0">'Fiscal Note'!$A$1:$G$42</definedName>
  </definedNames>
  <calcPr fullCalcOnLoad="1"/>
</workbook>
</file>

<file path=xl/comments3.xml><?xml version="1.0" encoding="utf-8"?>
<comments xmlns="http://schemas.openxmlformats.org/spreadsheetml/2006/main">
  <authors>
    <author>Jennifer Lehman</author>
  </authors>
  <commentList>
    <comment ref="A18" authorId="0">
      <text>
        <r>
          <rPr>
            <b/>
            <sz val="9"/>
            <rFont val="Tahoma"/>
            <family val="2"/>
          </rPr>
          <t>Jennifer Lehman:</t>
        </r>
        <r>
          <rPr>
            <sz val="9"/>
            <rFont val="Tahoma"/>
            <family val="2"/>
          </rPr>
          <t xml:space="preserve">
flat $5000 assumed?
</t>
        </r>
      </text>
    </comment>
    <comment ref="A17" authorId="0">
      <text>
        <r>
          <rPr>
            <b/>
            <sz val="9"/>
            <rFont val="Tahoma"/>
            <family val="2"/>
          </rPr>
          <t>Jennifer Lehman:</t>
        </r>
        <r>
          <rPr>
            <sz val="9"/>
            <rFont val="Tahoma"/>
            <family val="2"/>
          </rPr>
          <t xml:space="preserve">
Assumes 1 seasonal spends 1 hour a day 7 days a week for 52 weeks a year.</t>
        </r>
      </text>
    </comment>
    <comment ref="A19" authorId="0">
      <text>
        <r>
          <rPr>
            <b/>
            <sz val="9"/>
            <rFont val="Tahoma"/>
            <family val="2"/>
          </rPr>
          <t>Jennifer Lehman:</t>
        </r>
        <r>
          <rPr>
            <sz val="9"/>
            <rFont val="Tahoma"/>
            <family val="2"/>
          </rPr>
          <t xml:space="preserve">
Assumes Northshore Athletic Fields historical numbers
</t>
        </r>
      </text>
    </comment>
    <comment ref="A20" authorId="0">
      <text>
        <r>
          <rPr>
            <b/>
            <sz val="9"/>
            <rFont val="Tahoma"/>
            <family val="2"/>
          </rPr>
          <t>Jennifer Lehman:</t>
        </r>
        <r>
          <rPr>
            <sz val="9"/>
            <rFont val="Tahoma"/>
            <family val="2"/>
          </rPr>
          <t xml:space="preserve">
Assumes Northshore Athletic Fields historical numbers
</t>
        </r>
      </text>
    </comment>
  </commentList>
</comments>
</file>

<file path=xl/sharedStrings.xml><?xml version="1.0" encoding="utf-8"?>
<sst xmlns="http://schemas.openxmlformats.org/spreadsheetml/2006/main" count="179" uniqueCount="112">
  <si>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</si>
  <si>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</si>
  <si>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</si>
  <si>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</si>
  <si>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</si>
  <si>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</si>
  <si>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</si>
  <si>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</si>
  <si>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</si>
  <si>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</si>
  <si>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</si>
  <si>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</si>
  <si>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</si>
  <si>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</si>
  <si>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2015/2016 FISCAL NOTE</t>
  </si>
  <si>
    <t>Does this legislation require a budget supplemental?</t>
  </si>
  <si>
    <t>No</t>
  </si>
  <si>
    <t>DNRP</t>
  </si>
  <si>
    <t>Note Reviewed By:   Jillian Andrews, Executive Analyst, Office of Performance, Strategy, and Budget</t>
  </si>
  <si>
    <t>Note Prepared By:  Jennifer Lehman, Business Finance Officer, Parks and Recreation Division</t>
  </si>
  <si>
    <t>Affected Agency and/or Agencies:  Parks and Recreation Division, Department of Natural Resources and Parks (DNRP)</t>
  </si>
  <si>
    <t>Date Prepared:  August 10, 2015</t>
  </si>
  <si>
    <t>Bathroom installation</t>
  </si>
  <si>
    <t>Gross Receipts as projected by Go Ape</t>
  </si>
  <si>
    <t>What tier does this fall under?</t>
  </si>
  <si>
    <t>Rent Structure</t>
  </si>
  <si>
    <t>Base</t>
  </si>
  <si>
    <t>Tier 1</t>
  </si>
  <si>
    <t>Tier 2</t>
  </si>
  <si>
    <t>Tier 3</t>
  </si>
  <si>
    <t>Tier 4</t>
  </si>
  <si>
    <t>Tier 5</t>
  </si>
  <si>
    <t>Tier 6</t>
  </si>
  <si>
    <t>% of Gross Receipts</t>
  </si>
  <si>
    <t>If Revenue is</t>
  </si>
  <si>
    <t>&lt;$800k</t>
  </si>
  <si>
    <t>$800-$900k</t>
  </si>
  <si>
    <t>$900K-$1M</t>
  </si>
  <si>
    <t>$1M to $1.2M</t>
  </si>
  <si>
    <t>$1.2M-$1.5M</t>
  </si>
  <si>
    <t>$1.5M-$1.75M</t>
  </si>
  <si>
    <t>&gt;$1.75M</t>
  </si>
  <si>
    <t>Annual Minimum</t>
  </si>
  <si>
    <t>Year 1</t>
  </si>
  <si>
    <t>Years 2-20</t>
  </si>
  <si>
    <t>N/A</t>
  </si>
  <si>
    <t>Per the use agreement:</t>
  </si>
  <si>
    <t>King County's portion</t>
  </si>
  <si>
    <t>base</t>
  </si>
  <si>
    <t>Percent difference between two gross receipts</t>
  </si>
  <si>
    <t>Annual growth in Go Ape proposal</t>
  </si>
  <si>
    <t>The projection also anticipates building a treetop junior course the in Year 2.</t>
  </si>
  <si>
    <t>Removing Treetop Junior estimates from Go Ape's forecasts:</t>
  </si>
  <si>
    <t>Similar parks for annual maintenance (qualities include 1 bathroom and 1 parking lot):</t>
  </si>
  <si>
    <t>Site Name</t>
  </si>
  <si>
    <t>2008 Estimated Costs</t>
  </si>
  <si>
    <t>2009 Estimated Costs</t>
  </si>
  <si>
    <t>2010 Estimated Costs</t>
  </si>
  <si>
    <t>2011 Estimated Costs</t>
  </si>
  <si>
    <t>2012 Estimated Costs</t>
  </si>
  <si>
    <t>2013 Estimated Costs</t>
  </si>
  <si>
    <t>Northshore Athletic Fields</t>
  </si>
  <si>
    <t>* Based on bathrooms purchased for CPG projects.  CPG project bathrooms typically cost ~$100,000.  This would be smaller (not have added room for storage, for example).</t>
  </si>
  <si>
    <t>Rounded, Average</t>
  </si>
  <si>
    <t>Materials:</t>
  </si>
  <si>
    <t>Equipment:</t>
  </si>
  <si>
    <t>Labor:</t>
  </si>
  <si>
    <r>
      <t>Parks and Recreation</t>
    </r>
    <r>
      <rPr>
        <vertAlign val="superscript"/>
        <sz val="10.5"/>
        <rFont val="Univers"/>
        <family val="0"/>
      </rPr>
      <t xml:space="preserve"> 1</t>
    </r>
  </si>
  <si>
    <r>
      <t>Parks and Recreation</t>
    </r>
    <r>
      <rPr>
        <vertAlign val="superscript"/>
        <sz val="10.5"/>
        <rFont val="Univers"/>
        <family val="0"/>
      </rPr>
      <t xml:space="preserve"> 2</t>
    </r>
  </si>
  <si>
    <r>
      <t>Parks and Recreation</t>
    </r>
    <r>
      <rPr>
        <vertAlign val="superscript"/>
        <sz val="10.5"/>
        <rFont val="Univers"/>
        <family val="0"/>
      </rPr>
      <t xml:space="preserve"> 3</t>
    </r>
  </si>
  <si>
    <r>
      <t>Parks and Recreation</t>
    </r>
    <r>
      <rPr>
        <vertAlign val="superscript"/>
        <sz val="10.5"/>
        <rFont val="Univers"/>
        <family val="0"/>
      </rPr>
      <t xml:space="preserve"> 4</t>
    </r>
  </si>
  <si>
    <t>36250 - Long Term Rent</t>
  </si>
  <si>
    <t>2015 QSMP</t>
  </si>
  <si>
    <t>39796 - Contribution Other Funds</t>
  </si>
  <si>
    <t>Option 2: Reduced projections</t>
  </si>
  <si>
    <t>Option 1: Go Ape projections</t>
  </si>
  <si>
    <t>Option 3:  Remove Youth Course Estimates</t>
  </si>
  <si>
    <t>Option 4:  Reduced projections + remove youth course estimates</t>
  </si>
  <si>
    <t>Revenue Profile for King County</t>
  </si>
  <si>
    <t>Go Ape Gross</t>
  </si>
  <si>
    <t>King County Rent</t>
  </si>
  <si>
    <t>Revised gross receipts (R Dotson)</t>
  </si>
  <si>
    <t>Gross Receipts without Treetop Junior</t>
  </si>
  <si>
    <t>Revised gross receipts without Treetop Junior</t>
  </si>
  <si>
    <r>
      <t xml:space="preserve">51000-WAGES AND BENEFITS </t>
    </r>
    <r>
      <rPr>
        <vertAlign val="superscript"/>
        <sz val="10.5"/>
        <rFont val="Univers"/>
        <family val="0"/>
      </rPr>
      <t>3</t>
    </r>
  </si>
  <si>
    <r>
      <t xml:space="preserve">52000-SUPPLIES </t>
    </r>
    <r>
      <rPr>
        <vertAlign val="superscript"/>
        <sz val="10.5"/>
        <rFont val="Univers"/>
        <family val="0"/>
      </rPr>
      <t>3</t>
    </r>
  </si>
  <si>
    <r>
      <t xml:space="preserve">56000-CAPITAL OUTLAY </t>
    </r>
    <r>
      <rPr>
        <vertAlign val="superscript"/>
        <sz val="10.5"/>
        <rFont val="Univers"/>
        <family val="0"/>
      </rPr>
      <t>4</t>
    </r>
  </si>
  <si>
    <t>Black Diamond Open Space trailhead somewhat similar but has been open for less than a year so not much historical data.</t>
  </si>
  <si>
    <r>
      <rPr>
        <b/>
        <u val="single"/>
        <sz val="10"/>
        <rFont val="Arial"/>
        <family val="2"/>
      </rPr>
      <t>Gravel parking lot grading</t>
    </r>
    <r>
      <rPr>
        <b/>
        <sz val="10"/>
        <rFont val="Arial"/>
        <family val="2"/>
      </rPr>
      <t xml:space="preserve">  (Question out to DS -- is 2015 QSMP one-time estimate or annual estimate??) </t>
    </r>
    <r>
      <rPr>
        <b/>
        <sz val="10"/>
        <color indexed="10"/>
        <rFont val="Arial"/>
        <family val="2"/>
      </rPr>
      <t xml:space="preserve"> AH confirms the QSMP is one-time site improvement and not intended for ongoing maintenance.</t>
    </r>
  </si>
  <si>
    <t>Annual growth in King County estimate</t>
  </si>
  <si>
    <t>Biennial amount rounded to nearest $5,000</t>
  </si>
  <si>
    <t>Tier</t>
  </si>
  <si>
    <t>Per phone conversation with AH:</t>
  </si>
  <si>
    <t>Bathroom Cleaning Labor:</t>
  </si>
  <si>
    <t>Bathroom Cleaning Materials:</t>
  </si>
  <si>
    <t>Parking Lot Maintenance Labor:</t>
  </si>
  <si>
    <t>Parking Lot Maintenance Materials/Equipment:</t>
  </si>
  <si>
    <t>REGULAR SALARIED EMPLOYEE</t>
  </si>
  <si>
    <t>SUPPLIES MISCELLANEOUS</t>
  </si>
  <si>
    <t>MAINTENANCE PARTS MATERIALS</t>
  </si>
  <si>
    <t>EMPLOYER PAID BENEFITS</t>
  </si>
  <si>
    <t>PAID TIME OFF</t>
  </si>
  <si>
    <t>INDIRECT COSTS</t>
  </si>
  <si>
    <t>PKS NORTHSHORE BALLFIELDS</t>
  </si>
  <si>
    <t>1045071</t>
  </si>
  <si>
    <r>
      <rPr>
        <sz val="10"/>
        <color indexed="10"/>
        <rFont val="Arial"/>
        <family val="2"/>
      </rPr>
      <t>Northshore Athletic Fields</t>
    </r>
    <r>
      <rPr>
        <sz val="10"/>
        <rFont val="Arial"/>
        <family val="2"/>
      </rPr>
      <t xml:space="preserve"> or Lake Youngs Trailhead Parking Lot since they are heavily used</t>
    </r>
  </si>
  <si>
    <t>2013 Direct Costs from GL-10 (in order to break out by labor and supplies)</t>
  </si>
  <si>
    <r>
      <t xml:space="preserve">TOTAL </t>
    </r>
    <r>
      <rPr>
        <vertAlign val="superscript"/>
        <sz val="10.5"/>
        <rFont val="Univers"/>
        <family val="0"/>
      </rPr>
      <t>5</t>
    </r>
  </si>
  <si>
    <t xml:space="preserve">In accordance with the use agreement, Go Ape Cougar-Squak LLC will remit a portion of gross receipts received from operating a treetop adventure course on King County property.  </t>
  </si>
  <si>
    <r>
      <rPr>
        <u val="single"/>
        <sz val="10.5"/>
        <rFont val="Univers"/>
        <family val="0"/>
      </rPr>
      <t xml:space="preserve">Notes and Assumptions: </t>
    </r>
    <r>
      <rPr>
        <sz val="10.5"/>
        <rFont val="Univers"/>
        <family val="0"/>
      </rPr>
      <t xml:space="preserve">
</t>
    </r>
    <r>
      <rPr>
        <b/>
        <sz val="10.5"/>
        <rFont val="Univers"/>
        <family val="0"/>
      </rPr>
      <t xml:space="preserve">[1] </t>
    </r>
    <r>
      <rPr>
        <sz val="10.5"/>
        <rFont val="Univers"/>
        <family val="0"/>
      </rPr>
      <t xml:space="preserve">Revenue assumes Year 1 begins January 2016.  Based on the use agreement, Go Ape will pay an escalating percentage of its gross receipts to King County, with an annual minimum of $20,000.  Revenue projections are based on Go Ape adult courses in similarly-sized metropolitan areas.
</t>
    </r>
    <r>
      <rPr>
        <b/>
        <sz val="10.5"/>
        <rFont val="Univers"/>
        <family val="0"/>
      </rPr>
      <t>[2]</t>
    </r>
    <r>
      <rPr>
        <sz val="10.5"/>
        <rFont val="Univers"/>
        <family val="0"/>
      </rPr>
      <t xml:space="preserve"> Go Ape will pay for course infrastructure including an office for business operations as well as Americans with Disabilities Act (ADA) accessible parking spaces and ramps.  Go Ape will provide $25,000 toward the installation of a two-unit ADA accessible restroom.
</t>
    </r>
    <r>
      <rPr>
        <b/>
        <sz val="10.5"/>
        <rFont val="Univers"/>
        <family val="0"/>
      </rPr>
      <t>[3]</t>
    </r>
    <r>
      <rPr>
        <sz val="10.5"/>
        <rFont val="Univers"/>
        <family val="0"/>
      </rPr>
      <t xml:space="preserve"> King County Parks will use existing budget authority for any necessary improvements to the gravel parking lot and ongoing maintenance of the lot.  
</t>
    </r>
    <r>
      <rPr>
        <b/>
        <sz val="10.5"/>
        <rFont val="Univers"/>
        <family val="0"/>
      </rPr>
      <t>[4]</t>
    </r>
    <r>
      <rPr>
        <sz val="10.5"/>
        <rFont val="Univers"/>
        <family val="0"/>
      </rPr>
      <t xml:space="preserve"> King County Parks will install and maintain a two-unit ADA accessible restroom with potable water.  Go Ape will provide $25,000 to this installation.  
</t>
    </r>
    <r>
      <rPr>
        <b/>
        <sz val="10.5"/>
        <rFont val="Univers"/>
        <family val="0"/>
      </rPr>
      <t>[5]</t>
    </r>
    <r>
      <rPr>
        <sz val="10.5"/>
        <rFont val="Univers"/>
        <family val="0"/>
      </rPr>
      <t xml:space="preserve"> The restroom and parking developed in conjunction with this proposal will also support the public's use and enjoyment of the remaining 730 acres of trails and open space composing the Cougar Squak Corridor property.</t>
    </r>
  </si>
  <si>
    <t>Title:  Concession Agreement between King County Parks and Recreation Division and Go Ape Cougar-Squak LLC</t>
  </si>
  <si>
    <t>Ordinance/Motion:    2016-XXXX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</si>
</sst>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b/>
      <sz val="10"/>
      <name val="Arial"/>
      <family val="0"/>
    </font>
    <font>
      <i/>
      <sz val="10"/>
      <name val="Arial"/>
      <family val="0"/>
    </font>
    <font>
      <b/>
      <i/>
      <sz val="10"/>
      <name val="Arial"/>
      <family val="0"/>
    </font>
    <font>
      <b/>
      <sz val="10.5"/>
      <name val="Univers"/>
      <family val="0"/>
    </font>
    <font>
      <b/>
      <sz val="11"/>
      <name val="Univers"/>
      <family val="0"/>
    </font>
    <font>
      <u val="single"/>
      <sz val="10.5"/>
      <name val="Univers"/>
      <family val="0"/>
    </font>
    <font>
      <sz val="10.5"/>
      <name val="Univers"/>
      <family val="0"/>
    </font>
    <font>
      <sz val="11"/>
      <name val="Calibri"/>
      <family val="2"/>
    </font>
    <font>
      <b/>
      <u val="single"/>
      <sz val="10"/>
      <name val="Arial"/>
      <family val="2"/>
    </font>
    <font>
      <sz val="10"/>
      <color indexed="8"/>
      <name val="Arial"/>
      <family val="2"/>
    </font>
    <font>
      <sz val="11"/>
      <name val="Arial"/>
      <family val="2"/>
    </font>
    <font>
      <vertAlign val="superscript"/>
      <sz val="10.5"/>
      <name val="Univers"/>
      <family val="0"/>
    </font>
    <font>
      <sz val="10"/>
      <name val="Univers"/>
      <family val="0"/>
    </font>
    <font>
      <sz val="8"/>
      <name val="Univers"/>
      <family val="0"/>
    </font>
    <font>
      <b/>
      <u val="single"/>
      <sz val="12"/>
      <name val="Arial"/>
      <family val="2"/>
    </font>
    <font>
      <b/>
      <sz val="10"/>
      <color indexed="10"/>
      <name val="Arial"/>
      <family val="2"/>
    </font>
    <font>
      <sz val="10"/>
      <color indexed="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0" fillId="0" borderId="0">
      <alignment vertical="top"/>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8">
    <xf numFmtId="0" fontId="0" fillId="0" borderId="0" xfId="0" applyAlignment="1">
      <alignment/>
    </xf>
    <xf numFmtId="0" fontId="0" fillId="0" borderId="0" xfId="0" applyAlignment="1">
      <alignment/>
    </xf>
    <xf numFmtId="3" fontId="0" fillId="0" borderId="0" xfId="0" applyNumberFormat="1" applyAlignment="1">
      <alignment/>
    </xf>
    <xf numFmtId="0" fontId="4" fillId="0" borderId="0" xfId="0" applyFont="1" applyBorder="1" applyAlignment="1">
      <alignment/>
    </xf>
    <xf numFmtId="0" fontId="4" fillId="0" borderId="0" xfId="0" applyFont="1" applyAlignment="1">
      <alignment/>
    </xf>
    <xf numFmtId="3" fontId="4" fillId="0" borderId="10" xfId="0" applyNumberFormat="1" applyFont="1" applyBorder="1" applyAlignment="1">
      <alignment/>
    </xf>
    <xf numFmtId="0" fontId="0" fillId="0" borderId="0" xfId="0" applyFont="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5" fillId="0" borderId="0" xfId="0" applyFont="1" applyAlignment="1">
      <alignment horizontal="centerContinuous"/>
    </xf>
    <xf numFmtId="3" fontId="4" fillId="0" borderId="10" xfId="0" applyNumberFormat="1" applyFont="1" applyFill="1" applyBorder="1" applyAlignment="1">
      <alignment/>
    </xf>
    <xf numFmtId="3" fontId="4" fillId="0" borderId="11" xfId="0" applyNumberFormat="1" applyFont="1" applyFill="1" applyBorder="1" applyAlignment="1">
      <alignment/>
    </xf>
    <xf numFmtId="0" fontId="1" fillId="0" borderId="0" xfId="0" applyFont="1" applyAlignment="1">
      <alignment horizontal="center"/>
    </xf>
    <xf numFmtId="167" fontId="0" fillId="0" borderId="0" xfId="42" applyNumberFormat="1" applyFont="1" applyAlignment="1">
      <alignment/>
    </xf>
    <xf numFmtId="0" fontId="8" fillId="0" borderId="12" xfId="0" applyFont="1" applyBorder="1" applyAlignment="1">
      <alignment horizontal="center" vertical="center" wrapText="1"/>
    </xf>
    <xf numFmtId="9" fontId="8" fillId="0" borderId="12" xfId="0" applyNumberFormat="1" applyFont="1" applyBorder="1" applyAlignment="1">
      <alignment horizontal="center" vertical="center" wrapText="1"/>
    </xf>
    <xf numFmtId="167" fontId="0" fillId="0" borderId="0" xfId="42" applyNumberFormat="1" applyFont="1" applyAlignment="1">
      <alignment/>
    </xf>
    <xf numFmtId="0" fontId="0" fillId="0" borderId="0" xfId="0" applyAlignment="1">
      <alignment vertical="center"/>
    </xf>
    <xf numFmtId="0" fontId="9" fillId="0" borderId="0" xfId="0" applyFont="1" applyAlignment="1">
      <alignment vertical="center"/>
    </xf>
    <xf numFmtId="167" fontId="0" fillId="0" borderId="0" xfId="0" applyNumberFormat="1" applyAlignment="1">
      <alignment/>
    </xf>
    <xf numFmtId="0" fontId="0" fillId="0" borderId="0" xfId="0" applyFont="1" applyAlignment="1">
      <alignment horizontal="center"/>
    </xf>
    <xf numFmtId="0" fontId="0" fillId="0" borderId="0" xfId="0" applyAlignment="1">
      <alignment horizontal="center"/>
    </xf>
    <xf numFmtId="167" fontId="0" fillId="0" borderId="0" xfId="42" applyNumberFormat="1" applyFont="1" applyAlignment="1">
      <alignment/>
    </xf>
    <xf numFmtId="0" fontId="1" fillId="33" borderId="0" xfId="56" applyFont="1" applyFill="1" applyAlignment="1">
      <alignment horizontal="left"/>
      <protection/>
    </xf>
    <xf numFmtId="0" fontId="11" fillId="0" borderId="0" xfId="56" applyFont="1" applyFill="1">
      <alignment/>
      <protection/>
    </xf>
    <xf numFmtId="3" fontId="0" fillId="34" borderId="0" xfId="56" applyNumberFormat="1" applyFont="1" applyFill="1">
      <alignment/>
      <protection/>
    </xf>
    <xf numFmtId="3" fontId="0" fillId="0" borderId="0" xfId="56" applyNumberFormat="1" applyFont="1" applyFill="1">
      <alignment/>
      <protection/>
    </xf>
    <xf numFmtId="3" fontId="0" fillId="0" borderId="0" xfId="44" applyNumberFormat="1" applyFont="1" applyFill="1" applyAlignment="1">
      <alignment/>
    </xf>
    <xf numFmtId="3" fontId="1" fillId="34" borderId="0" xfId="56" applyNumberFormat="1" applyFont="1" applyFill="1" applyAlignment="1">
      <alignment horizontal="center" wrapText="1"/>
      <protection/>
    </xf>
    <xf numFmtId="3" fontId="1" fillId="0" borderId="0" xfId="56" applyNumberFormat="1" applyFont="1" applyFill="1" applyAlignment="1">
      <alignment horizontal="center" wrapText="1"/>
      <protection/>
    </xf>
    <xf numFmtId="3" fontId="1" fillId="2" borderId="0" xfId="56" applyNumberFormat="1" applyFont="1" applyFill="1" applyAlignment="1">
      <alignment horizontal="center" wrapText="1"/>
      <protection/>
    </xf>
    <xf numFmtId="3" fontId="1" fillId="35" borderId="0" xfId="44" applyNumberFormat="1" applyFont="1" applyFill="1" applyAlignment="1">
      <alignment horizontal="center" wrapText="1"/>
    </xf>
    <xf numFmtId="3" fontId="1" fillId="0" borderId="0" xfId="44" applyNumberFormat="1" applyFont="1" applyFill="1" applyAlignment="1">
      <alignment horizontal="center" wrapText="1"/>
    </xf>
    <xf numFmtId="0" fontId="1" fillId="0" borderId="0" xfId="0" applyFont="1" applyAlignment="1">
      <alignment/>
    </xf>
    <xf numFmtId="0" fontId="9" fillId="0" borderId="0" xfId="0" applyFont="1" applyAlignment="1">
      <alignment/>
    </xf>
    <xf numFmtId="167" fontId="1" fillId="0" borderId="0" xfId="42" applyNumberFormat="1" applyFont="1" applyAlignment="1">
      <alignment/>
    </xf>
    <xf numFmtId="0" fontId="7" fillId="0" borderId="0" xfId="0" applyFont="1" applyAlignment="1">
      <alignment horizontal="centerContinuous"/>
    </xf>
    <xf numFmtId="0" fontId="13" fillId="0" borderId="0" xfId="0" applyFont="1" applyAlignment="1">
      <alignment/>
    </xf>
    <xf numFmtId="0" fontId="13" fillId="0" borderId="0" xfId="0" applyFont="1" applyAlignment="1">
      <alignment/>
    </xf>
    <xf numFmtId="0" fontId="14" fillId="0" borderId="0" xfId="0" applyFont="1" applyAlignment="1">
      <alignment horizontal="left"/>
    </xf>
    <xf numFmtId="0" fontId="13" fillId="0" borderId="0" xfId="0" applyFont="1" applyAlignment="1">
      <alignment horizontal="centerContinuous"/>
    </xf>
    <xf numFmtId="0" fontId="7" fillId="0" borderId="13" xfId="0" applyFont="1" applyBorder="1" applyAlignment="1">
      <alignment horizontal="left"/>
    </xf>
    <xf numFmtId="0" fontId="7" fillId="0" borderId="14" xfId="0" applyFont="1" applyBorder="1" applyAlignment="1">
      <alignment horizontal="left"/>
    </xf>
    <xf numFmtId="0" fontId="7" fillId="0" borderId="14" xfId="0" applyFont="1" applyBorder="1" applyAlignment="1">
      <alignment horizontal="centerContinuous"/>
    </xf>
    <xf numFmtId="0" fontId="7" fillId="0" borderId="15" xfId="0" applyFont="1" applyBorder="1" applyAlignment="1">
      <alignment horizontal="centerContinuous"/>
    </xf>
    <xf numFmtId="0" fontId="7" fillId="0" borderId="16"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Continuous"/>
    </xf>
    <xf numFmtId="0" fontId="7" fillId="0" borderId="17" xfId="0" applyFont="1" applyBorder="1" applyAlignment="1">
      <alignment horizontal="centerContinuous"/>
    </xf>
    <xf numFmtId="0" fontId="7" fillId="0" borderId="16" xfId="0" applyFont="1" applyBorder="1" applyAlignment="1">
      <alignment/>
    </xf>
    <xf numFmtId="0" fontId="7" fillId="0" borderId="0"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0" xfId="0" applyFont="1" applyAlignment="1">
      <alignment/>
    </xf>
    <xf numFmtId="0" fontId="7" fillId="36" borderId="0" xfId="0" applyFont="1" applyFill="1" applyBorder="1" applyAlignment="1">
      <alignment horizontal="left" wrapText="1"/>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horizontal="center" wrapText="1"/>
    </xf>
    <xf numFmtId="0" fontId="7" fillId="0" borderId="24" xfId="0" applyFont="1" applyBorder="1" applyAlignment="1">
      <alignment horizontal="center" wrapText="1"/>
    </xf>
    <xf numFmtId="0" fontId="7" fillId="36" borderId="25" xfId="0" applyFont="1" applyFill="1" applyBorder="1" applyAlignment="1">
      <alignment horizontal="center" wrapText="1"/>
    </xf>
    <xf numFmtId="0" fontId="7" fillId="0" borderId="0" xfId="0" applyFont="1" applyFill="1" applyBorder="1" applyAlignment="1">
      <alignment horizontal="left"/>
    </xf>
    <xf numFmtId="0" fontId="7" fillId="0" borderId="26" xfId="0"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10" xfId="0" applyFont="1" applyBorder="1" applyAlignment="1">
      <alignment horizontal="center" wrapText="1"/>
    </xf>
    <xf numFmtId="0" fontId="7" fillId="0" borderId="0" xfId="0" applyFont="1" applyAlignment="1">
      <alignment horizontal="center"/>
    </xf>
    <xf numFmtId="3" fontId="7" fillId="0" borderId="0" xfId="0" applyNumberFormat="1" applyFont="1" applyAlignment="1">
      <alignment/>
    </xf>
    <xf numFmtId="0" fontId="7" fillId="0" borderId="0" xfId="0" applyFont="1" applyBorder="1" applyAlignment="1">
      <alignment horizontal="center"/>
    </xf>
    <xf numFmtId="0" fontId="7" fillId="0" borderId="23" xfId="0" applyFont="1" applyBorder="1" applyAlignment="1">
      <alignment horizontal="center"/>
    </xf>
    <xf numFmtId="0" fontId="7" fillId="0" borderId="25" xfId="0" applyFont="1" applyBorder="1" applyAlignment="1">
      <alignment horizontal="center" wrapText="1"/>
    </xf>
    <xf numFmtId="0" fontId="7" fillId="0" borderId="29" xfId="0" applyFont="1" applyFill="1" applyBorder="1" applyAlignment="1">
      <alignment/>
    </xf>
    <xf numFmtId="0" fontId="7" fillId="0" borderId="12" xfId="0" applyFont="1" applyFill="1" applyBorder="1" applyAlignment="1">
      <alignment horizontal="center" wrapText="1"/>
    </xf>
    <xf numFmtId="3" fontId="7" fillId="0" borderId="12" xfId="0" applyNumberFormat="1" applyFont="1" applyFill="1" applyBorder="1" applyAlignment="1">
      <alignment wrapText="1"/>
    </xf>
    <xf numFmtId="3" fontId="7" fillId="0" borderId="30" xfId="0" applyNumberFormat="1" applyFont="1" applyFill="1" applyBorder="1" applyAlignment="1">
      <alignment wrapText="1"/>
    </xf>
    <xf numFmtId="0" fontId="7" fillId="0" borderId="31" xfId="0" applyFont="1" applyFill="1" applyBorder="1" applyAlignment="1">
      <alignment/>
    </xf>
    <xf numFmtId="0" fontId="7" fillId="0" borderId="32" xfId="0" applyFont="1" applyFill="1" applyBorder="1" applyAlignment="1">
      <alignment horizontal="center" wrapText="1"/>
    </xf>
    <xf numFmtId="3" fontId="7" fillId="0" borderId="32" xfId="0" applyNumberFormat="1" applyFont="1" applyFill="1" applyBorder="1" applyAlignment="1">
      <alignment wrapText="1"/>
    </xf>
    <xf numFmtId="3" fontId="7" fillId="0" borderId="33" xfId="0" applyNumberFormat="1" applyFont="1" applyFill="1" applyBorder="1" applyAlignment="1">
      <alignment wrapText="1"/>
    </xf>
    <xf numFmtId="0" fontId="7" fillId="0" borderId="27" xfId="0" applyFont="1" applyFill="1" applyBorder="1" applyAlignment="1">
      <alignment/>
    </xf>
    <xf numFmtId="0" fontId="7" fillId="0" borderId="28" xfId="0" applyFont="1" applyFill="1" applyBorder="1" applyAlignment="1">
      <alignment/>
    </xf>
    <xf numFmtId="0" fontId="7" fillId="0" borderId="10" xfId="0" applyFont="1" applyFill="1" applyBorder="1" applyAlignment="1">
      <alignment horizontal="center" wrapText="1"/>
    </xf>
    <xf numFmtId="3" fontId="7" fillId="0" borderId="0" xfId="0" applyNumberFormat="1" applyFont="1" applyBorder="1" applyAlignment="1">
      <alignment/>
    </xf>
    <xf numFmtId="0" fontId="7" fillId="0" borderId="22" xfId="0" applyFont="1" applyBorder="1" applyAlignment="1">
      <alignment horizontal="center"/>
    </xf>
    <xf numFmtId="0" fontId="7" fillId="0" borderId="34" xfId="0" applyFont="1" applyBorder="1" applyAlignment="1">
      <alignment horizontal="center"/>
    </xf>
    <xf numFmtId="0" fontId="7" fillId="0" borderId="25" xfId="0" applyFont="1" applyBorder="1" applyAlignment="1">
      <alignment horizontal="center"/>
    </xf>
    <xf numFmtId="0" fontId="13" fillId="0" borderId="0" xfId="0" applyFont="1" applyBorder="1" applyAlignment="1">
      <alignment/>
    </xf>
    <xf numFmtId="0" fontId="7" fillId="0" borderId="26" xfId="0" applyFont="1" applyFill="1" applyBorder="1" applyAlignment="1">
      <alignment/>
    </xf>
    <xf numFmtId="0" fontId="7" fillId="0" borderId="35" xfId="0" applyFont="1" applyFill="1" applyBorder="1" applyAlignment="1">
      <alignment/>
    </xf>
    <xf numFmtId="0" fontId="7" fillId="0" borderId="35" xfId="0" applyFont="1" applyFill="1" applyBorder="1" applyAlignment="1">
      <alignment horizontal="center"/>
    </xf>
    <xf numFmtId="0" fontId="7" fillId="0" borderId="29" xfId="0" applyFont="1" applyFill="1" applyBorder="1" applyAlignment="1">
      <alignment horizontal="center"/>
    </xf>
    <xf numFmtId="3" fontId="7" fillId="0" borderId="12" xfId="0" applyNumberFormat="1" applyFont="1" applyFill="1" applyBorder="1" applyAlignment="1">
      <alignment/>
    </xf>
    <xf numFmtId="3" fontId="7" fillId="0" borderId="30" xfId="0" applyNumberFormat="1" applyFont="1" applyFill="1" applyBorder="1" applyAlignment="1">
      <alignment/>
    </xf>
    <xf numFmtId="0" fontId="7" fillId="0" borderId="31" xfId="0" applyFont="1" applyFill="1" applyBorder="1" applyAlignment="1">
      <alignment horizontal="center"/>
    </xf>
    <xf numFmtId="0" fontId="7" fillId="0" borderId="36" xfId="0" applyFont="1" applyFill="1" applyBorder="1" applyAlignment="1">
      <alignment horizontal="center"/>
    </xf>
    <xf numFmtId="3" fontId="7" fillId="0" borderId="32" xfId="0" applyNumberFormat="1" applyFont="1" applyFill="1" applyBorder="1" applyAlignment="1">
      <alignment/>
    </xf>
    <xf numFmtId="3" fontId="7" fillId="0" borderId="33" xfId="0" applyNumberFormat="1" applyFont="1" applyFill="1" applyBorder="1" applyAlignment="1">
      <alignment/>
    </xf>
    <xf numFmtId="0" fontId="7" fillId="0" borderId="37" xfId="0" applyFont="1" applyFill="1" applyBorder="1" applyAlignment="1">
      <alignment/>
    </xf>
    <xf numFmtId="3" fontId="13" fillId="0" borderId="0" xfId="0" applyNumberFormat="1" applyFont="1" applyAlignment="1">
      <alignment/>
    </xf>
    <xf numFmtId="0" fontId="2" fillId="0" borderId="0" xfId="0" applyFont="1" applyAlignment="1">
      <alignment horizontal="center"/>
    </xf>
    <xf numFmtId="0" fontId="7" fillId="0" borderId="26" xfId="0" applyFont="1" applyBorder="1" applyAlignment="1">
      <alignment vertical="center"/>
    </xf>
    <xf numFmtId="0" fontId="7" fillId="0" borderId="35" xfId="0" applyFont="1" applyBorder="1" applyAlignment="1">
      <alignment vertical="center"/>
    </xf>
    <xf numFmtId="164" fontId="7" fillId="0" borderId="12" xfId="0" applyNumberFormat="1" applyFont="1" applyBorder="1" applyAlignment="1">
      <alignment horizontal="center" vertical="center" wrapText="1"/>
    </xf>
    <xf numFmtId="0" fontId="7" fillId="0" borderId="32" xfId="0" applyFont="1" applyBorder="1" applyAlignment="1">
      <alignment horizontal="center" vertical="center" wrapText="1"/>
    </xf>
    <xf numFmtId="3" fontId="7" fillId="0" borderId="32" xfId="0" applyNumberFormat="1" applyFont="1" applyBorder="1" applyAlignment="1">
      <alignment horizontal="right" vertical="center"/>
    </xf>
    <xf numFmtId="3" fontId="7" fillId="0" borderId="33" xfId="0" applyNumberFormat="1" applyFont="1" applyBorder="1" applyAlignment="1">
      <alignment horizontal="right" vertical="center"/>
    </xf>
    <xf numFmtId="0" fontId="7" fillId="0" borderId="12" xfId="0" applyFont="1" applyBorder="1" applyAlignment="1">
      <alignment horizontal="center" vertical="center" wrapText="1"/>
    </xf>
    <xf numFmtId="3" fontId="7" fillId="0" borderId="12" xfId="0" applyNumberFormat="1" applyFont="1" applyBorder="1" applyAlignment="1">
      <alignment horizontal="right" vertical="center"/>
    </xf>
    <xf numFmtId="3" fontId="7" fillId="0" borderId="30" xfId="0" applyNumberFormat="1" applyFont="1" applyBorder="1" applyAlignment="1">
      <alignment horizontal="right" vertical="center"/>
    </xf>
    <xf numFmtId="0" fontId="13" fillId="0" borderId="0" xfId="0" applyFont="1" applyAlignment="1">
      <alignment vertical="center"/>
    </xf>
    <xf numFmtId="0" fontId="1" fillId="0" borderId="0" xfId="0" applyFont="1" applyAlignment="1">
      <alignment/>
    </xf>
    <xf numFmtId="0" fontId="0" fillId="0" borderId="0" xfId="0" applyAlignment="1">
      <alignment horizontal="center" vertical="center"/>
    </xf>
    <xf numFmtId="167" fontId="0" fillId="0" borderId="0" xfId="0" applyNumberFormat="1" applyAlignment="1">
      <alignment horizontal="center"/>
    </xf>
    <xf numFmtId="167" fontId="0" fillId="0" borderId="0" xfId="42" applyNumberFormat="1" applyFont="1" applyAlignment="1">
      <alignment horizontal="center"/>
    </xf>
    <xf numFmtId="0" fontId="0" fillId="0" borderId="0" xfId="0" applyFill="1" applyAlignment="1">
      <alignment/>
    </xf>
    <xf numFmtId="0" fontId="11" fillId="0" borderId="0" xfId="57" applyFont="1" applyFill="1" applyAlignment="1">
      <alignment horizontal="left"/>
      <protection/>
    </xf>
    <xf numFmtId="0" fontId="15" fillId="37" borderId="0" xfId="0" applyFont="1" applyFill="1" applyAlignment="1">
      <alignment/>
    </xf>
    <xf numFmtId="0" fontId="0" fillId="37" borderId="0" xfId="0" applyFill="1" applyAlignment="1">
      <alignment horizontal="center"/>
    </xf>
    <xf numFmtId="0" fontId="0" fillId="37" borderId="0" xfId="0" applyFont="1" applyFill="1" applyAlignment="1">
      <alignment/>
    </xf>
    <xf numFmtId="0" fontId="0" fillId="37" borderId="0" xfId="0" applyFill="1" applyAlignment="1">
      <alignment/>
    </xf>
    <xf numFmtId="0" fontId="1" fillId="37" borderId="0" xfId="0" applyFont="1" applyFill="1" applyAlignment="1">
      <alignment horizontal="center"/>
    </xf>
    <xf numFmtId="167" fontId="0" fillId="37" borderId="0" xfId="0" applyNumberFormat="1" applyFill="1" applyAlignment="1">
      <alignment horizontal="center"/>
    </xf>
    <xf numFmtId="0" fontId="0" fillId="37" borderId="0" xfId="0" applyFont="1" applyFill="1" applyAlignment="1">
      <alignment/>
    </xf>
    <xf numFmtId="0" fontId="0" fillId="37" borderId="0" xfId="0" applyFont="1" applyFill="1" applyAlignment="1">
      <alignment horizontal="center"/>
    </xf>
    <xf numFmtId="0" fontId="0" fillId="37" borderId="0" xfId="0" applyFill="1" applyAlignment="1">
      <alignment/>
    </xf>
    <xf numFmtId="167" fontId="0" fillId="37" borderId="0" xfId="42" applyNumberFormat="1" applyFont="1" applyFill="1" applyAlignment="1">
      <alignment horizontal="center"/>
    </xf>
    <xf numFmtId="43" fontId="0" fillId="37" borderId="0" xfId="42" applyFont="1" applyFill="1" applyAlignment="1">
      <alignment horizontal="center"/>
    </xf>
    <xf numFmtId="0" fontId="0" fillId="32" borderId="0" xfId="0" applyFill="1" applyAlignment="1">
      <alignment/>
    </xf>
    <xf numFmtId="0" fontId="0" fillId="32" borderId="0" xfId="0" applyFill="1" applyAlignment="1">
      <alignment horizontal="center"/>
    </xf>
    <xf numFmtId="0" fontId="15" fillId="32" borderId="0" xfId="0" applyFont="1" applyFill="1" applyAlignment="1">
      <alignment/>
    </xf>
    <xf numFmtId="0" fontId="0" fillId="32" borderId="0" xfId="0" applyFont="1" applyFill="1" applyAlignment="1">
      <alignment/>
    </xf>
    <xf numFmtId="0" fontId="1" fillId="32" borderId="0" xfId="0" applyFont="1" applyFill="1" applyAlignment="1">
      <alignment horizontal="center"/>
    </xf>
    <xf numFmtId="0" fontId="0" fillId="32" borderId="0" xfId="0" applyFont="1" applyFill="1" applyAlignment="1">
      <alignment/>
    </xf>
    <xf numFmtId="167" fontId="0" fillId="32" borderId="0" xfId="0" applyNumberFormat="1" applyFill="1" applyAlignment="1">
      <alignment horizontal="center"/>
    </xf>
    <xf numFmtId="0" fontId="0" fillId="32" borderId="0" xfId="0" applyFont="1" applyFill="1" applyAlignment="1">
      <alignment horizontal="center"/>
    </xf>
    <xf numFmtId="167" fontId="0" fillId="32" borderId="0" xfId="42" applyNumberFormat="1" applyFont="1" applyFill="1" applyAlignment="1">
      <alignment horizontal="center"/>
    </xf>
    <xf numFmtId="9" fontId="0" fillId="37" borderId="0" xfId="60" applyFont="1" applyFill="1" applyAlignment="1">
      <alignment horizontal="center"/>
    </xf>
    <xf numFmtId="167" fontId="0" fillId="0" borderId="0" xfId="0" applyNumberFormat="1" applyAlignment="1">
      <alignment vertical="center"/>
    </xf>
    <xf numFmtId="0" fontId="0" fillId="0" borderId="0" xfId="0" applyFont="1" applyAlignment="1">
      <alignment horizontal="center" vertical="center"/>
    </xf>
    <xf numFmtId="167" fontId="0" fillId="0" borderId="0" xfId="42" applyNumberFormat="1" applyFont="1" applyAlignment="1">
      <alignment horizontal="center" vertical="center"/>
    </xf>
    <xf numFmtId="167" fontId="0" fillId="0" borderId="0" xfId="0" applyNumberFormat="1" applyAlignment="1">
      <alignment horizontal="center" vertical="center"/>
    </xf>
    <xf numFmtId="167" fontId="0" fillId="0" borderId="0" xfId="0" applyNumberFormat="1" applyFont="1" applyAlignment="1">
      <alignment horizontal="center"/>
    </xf>
    <xf numFmtId="3" fontId="0" fillId="0" borderId="0" xfId="0" applyNumberFormat="1" applyFill="1" applyAlignment="1">
      <alignment/>
    </xf>
    <xf numFmtId="0" fontId="53" fillId="0" borderId="0" xfId="0" applyFont="1" applyAlignment="1">
      <alignment/>
    </xf>
    <xf numFmtId="43" fontId="0" fillId="0" borderId="0" xfId="0" applyNumberFormat="1" applyAlignment="1">
      <alignment/>
    </xf>
    <xf numFmtId="0" fontId="53" fillId="0" borderId="0" xfId="0" applyFont="1" applyAlignment="1">
      <alignment horizontal="left"/>
    </xf>
    <xf numFmtId="0" fontId="7" fillId="36" borderId="38" xfId="0" applyFont="1" applyFill="1" applyBorder="1" applyAlignment="1">
      <alignment horizontal="left" vertical="center" wrapText="1"/>
    </xf>
    <xf numFmtId="0" fontId="7" fillId="36" borderId="39" xfId="0" applyFont="1" applyFill="1" applyBorder="1" applyAlignment="1">
      <alignment horizontal="left" vertical="center" wrapText="1"/>
    </xf>
    <xf numFmtId="0" fontId="7" fillId="36" borderId="40" xfId="0" applyFont="1" applyFill="1" applyBorder="1" applyAlignment="1">
      <alignment horizontal="left" vertical="center" wrapText="1"/>
    </xf>
    <xf numFmtId="0" fontId="7" fillId="36" borderId="41" xfId="0" applyFont="1" applyFill="1" applyBorder="1" applyAlignment="1">
      <alignment horizontal="left" vertical="center" wrapText="1"/>
    </xf>
    <xf numFmtId="0" fontId="7" fillId="36" borderId="42" xfId="0" applyFont="1" applyFill="1" applyBorder="1" applyAlignment="1">
      <alignment horizontal="left" vertical="center" wrapText="1"/>
    </xf>
    <xf numFmtId="0" fontId="7" fillId="36" borderId="43" xfId="0" applyFont="1" applyFill="1" applyBorder="1" applyAlignment="1">
      <alignment horizontal="left" vertical="center" wrapText="1"/>
    </xf>
    <xf numFmtId="0" fontId="7" fillId="0" borderId="0" xfId="0" applyFont="1" applyBorder="1" applyAlignment="1">
      <alignment horizontal="left" vertical="top"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6" fontId="8" fillId="0" borderId="12" xfId="0" applyNumberFormat="1" applyFont="1" applyBorder="1" applyAlignment="1">
      <alignment horizontal="center" vertical="center" wrapText="1"/>
    </xf>
    <xf numFmtId="167" fontId="0" fillId="0" borderId="0" xfId="42" applyNumberFormat="1"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7-6rev-2006revenue" xfId="56"/>
    <cellStyle name="Normal_Rev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workbookViewId="0" topLeftCell="A1">
      <selection activeCell="A3" sqref="A3"/>
    </sheetView>
  </sheetViews>
  <sheetFormatPr defaultColWidth="9.140625" defaultRowHeight="12.75"/>
  <cols>
    <col min="1" max="1" width="19.00390625" style="38" customWidth="1"/>
    <col min="2" max="2" width="12.28125" style="38" customWidth="1"/>
    <col min="3" max="3" width="15.7109375" style="38" customWidth="1"/>
    <col min="4" max="4" width="24.8515625" style="38" customWidth="1"/>
    <col min="5" max="7" width="15.7109375" style="38" customWidth="1"/>
    <col min="8" max="16384" width="9.140625" style="38" customWidth="1"/>
  </cols>
  <sheetData>
    <row r="1" spans="1:9" ht="15">
      <c r="A1" s="9" t="s">
        <v>14</v>
      </c>
      <c r="B1" s="36"/>
      <c r="C1" s="36"/>
      <c r="D1" s="36"/>
      <c r="E1" s="36"/>
      <c r="F1" s="36"/>
      <c r="G1" s="36"/>
      <c r="H1" s="37"/>
      <c r="I1" s="37"/>
    </row>
    <row r="2" spans="1:8" ht="14.25" thickBot="1">
      <c r="A2" s="39"/>
      <c r="B2" s="36"/>
      <c r="C2" s="36"/>
      <c r="D2" s="36"/>
      <c r="E2" s="36"/>
      <c r="F2" s="36"/>
      <c r="G2" s="36"/>
      <c r="H2" s="40"/>
    </row>
    <row r="3" spans="1:8" ht="14.25" thickTop="1">
      <c r="A3" s="41" t="s">
        <v>111</v>
      </c>
      <c r="B3" s="42"/>
      <c r="C3" s="43"/>
      <c r="D3" s="43"/>
      <c r="E3" s="43"/>
      <c r="F3" s="43"/>
      <c r="G3" s="44"/>
      <c r="H3" s="40"/>
    </row>
    <row r="4" spans="1:8" ht="13.5">
      <c r="A4" s="45" t="s">
        <v>110</v>
      </c>
      <c r="B4" s="46"/>
      <c r="C4" s="47"/>
      <c r="D4" s="47"/>
      <c r="E4" s="47"/>
      <c r="F4" s="47"/>
      <c r="G4" s="48"/>
      <c r="H4" s="40"/>
    </row>
    <row r="5" spans="1:7" ht="13.5">
      <c r="A5" s="49" t="s">
        <v>20</v>
      </c>
      <c r="B5" s="50"/>
      <c r="C5" s="50"/>
      <c r="D5" s="50"/>
      <c r="E5" s="50"/>
      <c r="F5" s="50"/>
      <c r="G5" s="51"/>
    </row>
    <row r="6" spans="1:7" ht="13.5">
      <c r="A6" s="49" t="s">
        <v>19</v>
      </c>
      <c r="B6" s="50"/>
      <c r="C6" s="50"/>
      <c r="D6" s="50"/>
      <c r="E6" s="50"/>
      <c r="F6" s="50"/>
      <c r="G6" s="51"/>
    </row>
    <row r="7" spans="1:7" ht="13.5">
      <c r="A7" s="49" t="s">
        <v>21</v>
      </c>
      <c r="B7" s="50"/>
      <c r="C7" s="50"/>
      <c r="D7" s="50"/>
      <c r="E7" s="50"/>
      <c r="F7" s="50"/>
      <c r="G7" s="51"/>
    </row>
    <row r="8" spans="1:7" ht="13.5">
      <c r="A8" s="49" t="s">
        <v>18</v>
      </c>
      <c r="B8" s="50"/>
      <c r="C8" s="50"/>
      <c r="D8" s="50"/>
      <c r="E8" s="50"/>
      <c r="F8" s="50"/>
      <c r="G8" s="51"/>
    </row>
    <row r="9" spans="1:7" ht="14.25" thickBot="1">
      <c r="A9" s="52" t="s">
        <v>11</v>
      </c>
      <c r="B9" s="53"/>
      <c r="C9" s="53"/>
      <c r="D9" s="53"/>
      <c r="E9" s="53"/>
      <c r="F9" s="53"/>
      <c r="G9" s="54"/>
    </row>
    <row r="10" spans="1:7" ht="14.25" thickTop="1">
      <c r="A10" s="55"/>
      <c r="C10" s="55"/>
      <c r="D10" s="50"/>
      <c r="E10" s="50"/>
      <c r="F10" s="50"/>
      <c r="G10" s="50"/>
    </row>
    <row r="11" spans="1:7" ht="14.25" thickBot="1">
      <c r="A11" s="3" t="s">
        <v>7</v>
      </c>
      <c r="C11" s="55"/>
      <c r="D11" s="55"/>
      <c r="E11" s="55"/>
      <c r="F11" s="55"/>
      <c r="G11" s="55"/>
    </row>
    <row r="12" spans="1:7" ht="12.75">
      <c r="A12" s="147" t="s">
        <v>108</v>
      </c>
      <c r="B12" s="148"/>
      <c r="C12" s="148"/>
      <c r="D12" s="148"/>
      <c r="E12" s="148"/>
      <c r="F12" s="148"/>
      <c r="G12" s="149"/>
    </row>
    <row r="13" spans="1:7" ht="13.5" thickBot="1">
      <c r="A13" s="150"/>
      <c r="B13" s="151"/>
      <c r="C13" s="151"/>
      <c r="D13" s="151"/>
      <c r="E13" s="151"/>
      <c r="F13" s="151"/>
      <c r="G13" s="152"/>
    </row>
    <row r="14" spans="1:7" ht="13.5">
      <c r="A14" s="56"/>
      <c r="B14" s="56"/>
      <c r="C14" s="56"/>
      <c r="D14" s="56"/>
      <c r="E14" s="56"/>
      <c r="F14" s="56"/>
      <c r="G14" s="56"/>
    </row>
    <row r="15" spans="1:7" ht="14.25" thickBot="1">
      <c r="A15" s="4" t="s">
        <v>0</v>
      </c>
      <c r="B15" s="50"/>
      <c r="C15" s="55"/>
      <c r="D15" s="55"/>
      <c r="E15" s="55"/>
      <c r="F15" s="55"/>
      <c r="G15" s="55"/>
    </row>
    <row r="16" spans="1:9" ht="13.5">
      <c r="A16" s="57" t="s">
        <v>12</v>
      </c>
      <c r="B16" s="58"/>
      <c r="C16" s="59" t="s">
        <v>5</v>
      </c>
      <c r="D16" s="59" t="s">
        <v>6</v>
      </c>
      <c r="E16" s="59" t="s">
        <v>8</v>
      </c>
      <c r="F16" s="60" t="s">
        <v>9</v>
      </c>
      <c r="G16" s="61" t="s">
        <v>10</v>
      </c>
      <c r="I16" s="62"/>
    </row>
    <row r="17" spans="1:7" s="110" customFormat="1" ht="30.75" customHeight="1">
      <c r="A17" s="101" t="s">
        <v>67</v>
      </c>
      <c r="B17" s="102"/>
      <c r="C17" s="103">
        <v>1451</v>
      </c>
      <c r="D17" s="107" t="s">
        <v>71</v>
      </c>
      <c r="E17" s="108">
        <f>Revenues!C41</f>
        <v>65000</v>
      </c>
      <c r="F17" s="108">
        <f>Revenues!E41</f>
        <v>215000</v>
      </c>
      <c r="G17" s="109">
        <f>Revenues!G41</f>
        <v>275000</v>
      </c>
    </row>
    <row r="18" spans="1:7" ht="27">
      <c r="A18" s="101" t="s">
        <v>68</v>
      </c>
      <c r="B18" s="102"/>
      <c r="C18" s="103">
        <v>1451</v>
      </c>
      <c r="D18" s="104" t="s">
        <v>73</v>
      </c>
      <c r="E18" s="105">
        <v>25000</v>
      </c>
      <c r="F18" s="105">
        <v>0</v>
      </c>
      <c r="G18" s="106">
        <v>0</v>
      </c>
    </row>
    <row r="19" spans="1:7" ht="14.25" thickBot="1">
      <c r="A19" s="64"/>
      <c r="B19" s="65" t="s">
        <v>1</v>
      </c>
      <c r="C19" s="66"/>
      <c r="D19" s="66"/>
      <c r="E19" s="5">
        <f>E18+E17</f>
        <v>90000</v>
      </c>
      <c r="F19" s="5">
        <f>F18+F17</f>
        <v>215000</v>
      </c>
      <c r="G19" s="7">
        <f>G18+G17</f>
        <v>275000</v>
      </c>
    </row>
    <row r="20" spans="1:7" ht="13.5">
      <c r="A20" s="55"/>
      <c r="B20" s="55"/>
      <c r="C20" s="67"/>
      <c r="D20" s="67"/>
      <c r="E20" s="68"/>
      <c r="F20" s="68"/>
      <c r="G20" s="68"/>
    </row>
    <row r="21" spans="1:7" ht="14.25" thickBot="1">
      <c r="A21" s="3" t="s">
        <v>2</v>
      </c>
      <c r="B21" s="50"/>
      <c r="C21" s="69"/>
      <c r="D21" s="67"/>
      <c r="E21" s="55"/>
      <c r="F21" s="55"/>
      <c r="G21" s="55"/>
    </row>
    <row r="22" spans="1:7" ht="13.5">
      <c r="A22" s="57" t="s">
        <v>12</v>
      </c>
      <c r="B22" s="58"/>
      <c r="C22" s="59" t="s">
        <v>5</v>
      </c>
      <c r="D22" s="70" t="s">
        <v>3</v>
      </c>
      <c r="E22" s="59" t="str">
        <f>E16</f>
        <v>2015/2016</v>
      </c>
      <c r="F22" s="59" t="str">
        <f>F16</f>
        <v>2017/2018</v>
      </c>
      <c r="G22" s="71" t="str">
        <f>G16</f>
        <v>2019/2020</v>
      </c>
    </row>
    <row r="23" spans="1:7" ht="15.75">
      <c r="A23" s="63" t="s">
        <v>69</v>
      </c>
      <c r="B23" s="72"/>
      <c r="C23" s="73">
        <v>1451</v>
      </c>
      <c r="D23" s="73" t="s">
        <v>17</v>
      </c>
      <c r="E23" s="74">
        <f>E29+E30</f>
        <v>131500</v>
      </c>
      <c r="F23" s="74">
        <f>F29+F30</f>
        <v>109500</v>
      </c>
      <c r="G23" s="75">
        <f>G29+G30</f>
        <v>119000</v>
      </c>
    </row>
    <row r="24" spans="1:7" ht="15.75">
      <c r="A24" s="63" t="s">
        <v>70</v>
      </c>
      <c r="B24" s="76"/>
      <c r="C24" s="77">
        <v>3160</v>
      </c>
      <c r="D24" s="77" t="s">
        <v>17</v>
      </c>
      <c r="E24" s="78">
        <f>Expenditures!B10</f>
        <v>80000</v>
      </c>
      <c r="F24" s="78">
        <v>0</v>
      </c>
      <c r="G24" s="79">
        <v>0</v>
      </c>
    </row>
    <row r="25" spans="1:8" ht="14.25" thickBot="1">
      <c r="A25" s="80"/>
      <c r="B25" s="81" t="s">
        <v>4</v>
      </c>
      <c r="C25" s="82"/>
      <c r="D25" s="82"/>
      <c r="E25" s="10">
        <f>SUM(E23:E24)</f>
        <v>211500</v>
      </c>
      <c r="F25" s="10">
        <f>SUM(F23:F24)</f>
        <v>109500</v>
      </c>
      <c r="G25" s="11">
        <f>SUM(G23:G24)</f>
        <v>119000</v>
      </c>
      <c r="H25" s="83"/>
    </row>
    <row r="26" spans="1:7" ht="13.5">
      <c r="A26" s="55"/>
      <c r="B26" s="55"/>
      <c r="C26" s="55"/>
      <c r="D26" s="55"/>
      <c r="E26" s="68"/>
      <c r="F26" s="68"/>
      <c r="G26" s="68"/>
    </row>
    <row r="27" spans="1:13" ht="14.25" thickBot="1">
      <c r="A27" s="3" t="s">
        <v>13</v>
      </c>
      <c r="B27" s="50"/>
      <c r="C27" s="50"/>
      <c r="D27" s="50"/>
      <c r="E27" s="55"/>
      <c r="F27" s="55"/>
      <c r="G27" s="55"/>
      <c r="K27" s="99"/>
      <c r="L27" s="99"/>
      <c r="M27" s="99"/>
    </row>
    <row r="28" spans="1:9" ht="13.5">
      <c r="A28" s="57"/>
      <c r="B28" s="58"/>
      <c r="C28" s="84"/>
      <c r="D28" s="85"/>
      <c r="E28" s="59" t="str">
        <f>E16</f>
        <v>2015/2016</v>
      </c>
      <c r="F28" s="70" t="str">
        <f>F16</f>
        <v>2017/2018</v>
      </c>
      <c r="G28" s="86" t="str">
        <f>G16</f>
        <v>2019/2020</v>
      </c>
      <c r="H28" s="87"/>
      <c r="I28" s="87"/>
    </row>
    <row r="29" spans="1:9" ht="15.75">
      <c r="A29" s="88" t="s">
        <v>84</v>
      </c>
      <c r="B29" s="89"/>
      <c r="C29" s="90"/>
      <c r="D29" s="91"/>
      <c r="E29" s="92">
        <f>MROUND(SUM(Expenditures!B14:D14,Expenditures!B17:D17,Expenditures!B19:D19),500)</f>
        <v>104500</v>
      </c>
      <c r="F29" s="92">
        <f>MROUND(SUM(Expenditures!E17:F17,Expenditures!E19:F19),500)</f>
        <v>94500</v>
      </c>
      <c r="G29" s="93">
        <f>MROUND(SUM(Expenditures!G17:H17,Expenditures!G19:H19),500)</f>
        <v>104000</v>
      </c>
      <c r="H29" s="87"/>
      <c r="I29" s="87"/>
    </row>
    <row r="30" spans="1:9" ht="15.75">
      <c r="A30" s="88" t="s">
        <v>85</v>
      </c>
      <c r="B30" s="76"/>
      <c r="C30" s="94"/>
      <c r="D30" s="95"/>
      <c r="E30" s="96">
        <f>MROUND(SUM(Expenditures!B15:D16,Expenditures!B18:D18,Expenditures!B20:D20),500)</f>
        <v>27000</v>
      </c>
      <c r="F30" s="96">
        <f>MROUND(SUM(Expenditures!E18:F18,Expenditures!E20:F20),500)</f>
        <v>15000</v>
      </c>
      <c r="G30" s="97">
        <f>MROUND(SUM(Expenditures!G18:H18,Expenditures!G20:H20),500)</f>
        <v>15000</v>
      </c>
      <c r="H30" s="87"/>
      <c r="I30" s="87"/>
    </row>
    <row r="31" spans="1:9" ht="15.75">
      <c r="A31" s="88" t="s">
        <v>86</v>
      </c>
      <c r="B31" s="76"/>
      <c r="C31" s="94"/>
      <c r="D31" s="95"/>
      <c r="E31" s="96">
        <f>E24</f>
        <v>80000</v>
      </c>
      <c r="F31" s="96">
        <v>0</v>
      </c>
      <c r="G31" s="97">
        <v>0</v>
      </c>
      <c r="H31" s="87"/>
      <c r="I31" s="87"/>
    </row>
    <row r="32" spans="1:9" ht="16.5" thickBot="1">
      <c r="A32" s="80" t="s">
        <v>107</v>
      </c>
      <c r="B32" s="81"/>
      <c r="C32" s="81"/>
      <c r="D32" s="98"/>
      <c r="E32" s="10">
        <f>SUM(E29:E31)</f>
        <v>211500</v>
      </c>
      <c r="F32" s="10">
        <f>SUM(F29:F31)</f>
        <v>109500</v>
      </c>
      <c r="G32" s="11">
        <f>SUM(G29:G31)</f>
        <v>119000</v>
      </c>
      <c r="H32" s="99"/>
      <c r="I32" s="99"/>
    </row>
    <row r="33" spans="1:9" ht="13.5">
      <c r="A33" s="3" t="s">
        <v>15</v>
      </c>
      <c r="B33" s="50"/>
      <c r="C33" s="50"/>
      <c r="D33" s="50"/>
      <c r="E33" s="8" t="s">
        <v>16</v>
      </c>
      <c r="F33" s="8"/>
      <c r="G33" s="8"/>
      <c r="H33" s="99"/>
      <c r="I33" s="99"/>
    </row>
    <row r="34" spans="1:9" ht="12.75" customHeight="1">
      <c r="A34" s="153" t="s">
        <v>109</v>
      </c>
      <c r="B34" s="153"/>
      <c r="C34" s="153"/>
      <c r="D34" s="153"/>
      <c r="E34" s="153"/>
      <c r="F34" s="153"/>
      <c r="G34" s="153"/>
      <c r="H34" s="99"/>
      <c r="I34" s="99"/>
    </row>
    <row r="35" spans="1:7" ht="16.5" customHeight="1">
      <c r="A35" s="153"/>
      <c r="B35" s="153"/>
      <c r="C35" s="153"/>
      <c r="D35" s="153"/>
      <c r="E35" s="153"/>
      <c r="F35" s="153"/>
      <c r="G35" s="153"/>
    </row>
    <row r="36" spans="1:7" ht="16.5" customHeight="1">
      <c r="A36" s="153"/>
      <c r="B36" s="153"/>
      <c r="C36" s="153"/>
      <c r="D36" s="153"/>
      <c r="E36" s="153"/>
      <c r="F36" s="153"/>
      <c r="G36" s="153"/>
    </row>
    <row r="37" spans="1:7" ht="16.5" customHeight="1">
      <c r="A37" s="153"/>
      <c r="B37" s="153"/>
      <c r="C37" s="153"/>
      <c r="D37" s="153"/>
      <c r="E37" s="153"/>
      <c r="F37" s="153"/>
      <c r="G37" s="153"/>
    </row>
    <row r="38" spans="1:7" ht="16.5" customHeight="1">
      <c r="A38" s="153"/>
      <c r="B38" s="153"/>
      <c r="C38" s="153"/>
      <c r="D38" s="153"/>
      <c r="E38" s="153"/>
      <c r="F38" s="153"/>
      <c r="G38" s="153"/>
    </row>
    <row r="39" spans="1:7" ht="16.5" customHeight="1">
      <c r="A39" s="153"/>
      <c r="B39" s="153"/>
      <c r="C39" s="153"/>
      <c r="D39" s="153"/>
      <c r="E39" s="153"/>
      <c r="F39" s="153"/>
      <c r="G39" s="153"/>
    </row>
    <row r="40" spans="1:7" ht="16.5" customHeight="1">
      <c r="A40" s="153"/>
      <c r="B40" s="153"/>
      <c r="C40" s="153"/>
      <c r="D40" s="153"/>
      <c r="E40" s="153"/>
      <c r="F40" s="153"/>
      <c r="G40" s="153"/>
    </row>
    <row r="41" spans="1:7" ht="16.5" customHeight="1">
      <c r="A41" s="153"/>
      <c r="B41" s="153"/>
      <c r="C41" s="153"/>
      <c r="D41" s="153"/>
      <c r="E41" s="153"/>
      <c r="F41" s="153"/>
      <c r="G41" s="153"/>
    </row>
    <row r="42" spans="1:7" ht="63" customHeight="1">
      <c r="A42" s="153"/>
      <c r="B42" s="153"/>
      <c r="C42" s="153"/>
      <c r="D42" s="153"/>
      <c r="E42" s="153"/>
      <c r="F42" s="153"/>
      <c r="G42" s="153"/>
    </row>
    <row r="43" spans="1:7" ht="12.75" customHeight="1">
      <c r="A43" s="50"/>
      <c r="B43" s="50"/>
      <c r="C43" s="50"/>
      <c r="D43" s="50"/>
      <c r="E43" s="83"/>
      <c r="F43" s="83"/>
      <c r="G43" s="83"/>
    </row>
    <row r="51" spans="1:7" ht="12.75" customHeight="1">
      <c r="A51"/>
      <c r="B51"/>
      <c r="C51"/>
      <c r="D51"/>
      <c r="E51"/>
      <c r="F51"/>
      <c r="G51"/>
    </row>
    <row r="52" spans="1:7" ht="12.75" customHeight="1">
      <c r="A52"/>
      <c r="B52"/>
      <c r="C52"/>
      <c r="D52"/>
      <c r="E52"/>
      <c r="F52"/>
      <c r="G52"/>
    </row>
    <row r="53" spans="1:7" ht="12.75" customHeight="1">
      <c r="A53"/>
      <c r="B53"/>
      <c r="C53"/>
      <c r="D53"/>
      <c r="E53"/>
      <c r="F53"/>
      <c r="G53"/>
    </row>
    <row r="54" spans="1:7" ht="12.75" customHeight="1">
      <c r="A54"/>
      <c r="B54"/>
      <c r="C54"/>
      <c r="D54"/>
      <c r="E54"/>
      <c r="F54"/>
      <c r="G54"/>
    </row>
    <row r="55" spans="1:7" ht="12.75" customHeight="1">
      <c r="A55"/>
      <c r="B55"/>
      <c r="C55"/>
      <c r="D55"/>
      <c r="E55"/>
      <c r="F55"/>
      <c r="G55"/>
    </row>
    <row r="56" spans="1:7" ht="12.75" customHeight="1">
      <c r="A56"/>
      <c r="B56"/>
      <c r="C56"/>
      <c r="D56"/>
      <c r="E56"/>
      <c r="F56"/>
      <c r="G56"/>
    </row>
    <row r="57" spans="1:7" ht="12.75" customHeight="1">
      <c r="A57"/>
      <c r="B57"/>
      <c r="C57"/>
      <c r="D57"/>
      <c r="E57"/>
      <c r="F57"/>
      <c r="G57"/>
    </row>
    <row r="58" spans="1:7" ht="12.75" customHeight="1">
      <c r="A58"/>
      <c r="B58"/>
      <c r="C58"/>
      <c r="D58"/>
      <c r="E58"/>
      <c r="F58"/>
      <c r="G58"/>
    </row>
  </sheetData>
  <sheetProtection/>
  <mergeCells count="2">
    <mergeCell ref="A12:G13"/>
    <mergeCell ref="A34:G42"/>
  </mergeCells>
  <printOptions/>
  <pageMargins left="0.77" right="0.75" top="1" bottom="1" header="0.5" footer="0.5"/>
  <pageSetup fitToHeight="1" fitToWidth="1" horizontalDpi="600" verticalDpi="600" orientation="portrait" scale="76" r:id="rId1"/>
  <headerFooter alignWithMargins="0">
    <oddFooter>&amp;CPage &amp;P</oddFooter>
  </headerFooter>
  <ignoredErrors>
    <ignoredError sqref="E30:G3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2:L51"/>
  <sheetViews>
    <sheetView zoomScalePageLayoutView="0" workbookViewId="0" topLeftCell="A1">
      <selection activeCell="A62" sqref="A62"/>
    </sheetView>
  </sheetViews>
  <sheetFormatPr defaultColWidth="9.140625" defaultRowHeight="12.75"/>
  <cols>
    <col min="1" max="1" width="40.00390625" style="0" bestFit="1" customWidth="1"/>
    <col min="2" max="2" width="9.57421875" style="21" customWidth="1"/>
    <col min="3" max="3" width="10.7109375" style="21" bestFit="1" customWidth="1"/>
    <col min="4" max="4" width="10.57421875" style="21" bestFit="1" customWidth="1"/>
    <col min="5" max="5" width="12.7109375" style="21" bestFit="1" customWidth="1"/>
    <col min="6" max="6" width="12.28125" style="21" bestFit="1" customWidth="1"/>
    <col min="7" max="7" width="10.28125" style="21" bestFit="1" customWidth="1"/>
    <col min="9" max="9" width="15.00390625" style="0" bestFit="1" customWidth="1"/>
    <col min="10" max="10" width="17.28125" style="0" customWidth="1"/>
    <col min="11" max="11" width="11.28125" style="0" hidden="1" customWidth="1"/>
    <col min="12" max="12" width="16.8515625" style="19" bestFit="1" customWidth="1"/>
  </cols>
  <sheetData>
    <row r="2" spans="1:12" s="17" customFormat="1" ht="21.75" customHeight="1">
      <c r="A2" s="18" t="s">
        <v>46</v>
      </c>
      <c r="B2" s="112"/>
      <c r="C2" s="112"/>
      <c r="D2" s="112"/>
      <c r="E2" s="112"/>
      <c r="F2" s="112"/>
      <c r="G2" s="112"/>
      <c r="L2" s="138"/>
    </row>
    <row r="3" spans="1:8" ht="15">
      <c r="A3" s="14" t="s">
        <v>25</v>
      </c>
      <c r="B3" s="14" t="s">
        <v>26</v>
      </c>
      <c r="C3" s="14" t="s">
        <v>27</v>
      </c>
      <c r="D3" s="14" t="s">
        <v>28</v>
      </c>
      <c r="E3" s="14" t="s">
        <v>29</v>
      </c>
      <c r="F3" s="14" t="s">
        <v>30</v>
      </c>
      <c r="G3" s="14" t="s">
        <v>31</v>
      </c>
      <c r="H3" s="14" t="s">
        <v>32</v>
      </c>
    </row>
    <row r="4" spans="1:8" ht="15">
      <c r="A4" s="14" t="s">
        <v>33</v>
      </c>
      <c r="B4" s="15">
        <v>0.03</v>
      </c>
      <c r="C4" s="15">
        <v>0.05</v>
      </c>
      <c r="D4" s="15">
        <v>0.07</v>
      </c>
      <c r="E4" s="15">
        <v>0.08</v>
      </c>
      <c r="F4" s="15">
        <v>0.1</v>
      </c>
      <c r="G4" s="15">
        <v>0.12</v>
      </c>
      <c r="H4" s="15">
        <v>0.15</v>
      </c>
    </row>
    <row r="5" spans="1:8" ht="30">
      <c r="A5" s="14" t="s">
        <v>34</v>
      </c>
      <c r="B5" s="14" t="s">
        <v>35</v>
      </c>
      <c r="C5" s="14" t="s">
        <v>36</v>
      </c>
      <c r="D5" s="14" t="s">
        <v>37</v>
      </c>
      <c r="E5" s="14" t="s">
        <v>38</v>
      </c>
      <c r="F5" s="14" t="s">
        <v>39</v>
      </c>
      <c r="G5" s="14" t="s">
        <v>40</v>
      </c>
      <c r="H5" s="14" t="s">
        <v>41</v>
      </c>
    </row>
    <row r="6" spans="1:8" ht="15">
      <c r="A6" s="154" t="s">
        <v>42</v>
      </c>
      <c r="B6" s="14" t="s">
        <v>43</v>
      </c>
      <c r="C6" s="155" t="s">
        <v>44</v>
      </c>
      <c r="D6" s="155"/>
      <c r="E6" s="155"/>
      <c r="F6" s="155"/>
      <c r="G6" s="155"/>
      <c r="H6" s="155"/>
    </row>
    <row r="7" spans="1:8" ht="15">
      <c r="A7" s="154"/>
      <c r="B7" s="14" t="s">
        <v>45</v>
      </c>
      <c r="C7" s="156">
        <v>20000</v>
      </c>
      <c r="D7" s="156"/>
      <c r="E7" s="156"/>
      <c r="F7" s="156"/>
      <c r="G7" s="156"/>
      <c r="H7" s="156"/>
    </row>
    <row r="8" ht="12.75">
      <c r="K8" s="13"/>
    </row>
    <row r="9" spans="1:10" ht="15.75">
      <c r="A9" s="117" t="s">
        <v>75</v>
      </c>
      <c r="B9" s="118"/>
      <c r="C9" s="118"/>
      <c r="D9" s="118"/>
      <c r="E9" s="118"/>
      <c r="F9" s="118"/>
      <c r="G9" s="118"/>
      <c r="J9" s="13"/>
    </row>
    <row r="10" spans="1:10" ht="12.75">
      <c r="A10" s="125"/>
      <c r="B10" s="121">
        <v>2015</v>
      </c>
      <c r="C10" s="121">
        <v>2016</v>
      </c>
      <c r="D10" s="121">
        <v>2017</v>
      </c>
      <c r="E10" s="121">
        <v>2018</v>
      </c>
      <c r="F10" s="121">
        <v>2019</v>
      </c>
      <c r="G10" s="121">
        <v>2020</v>
      </c>
      <c r="J10" s="13"/>
    </row>
    <row r="11" spans="1:12" ht="12.75">
      <c r="A11" s="123" t="s">
        <v>23</v>
      </c>
      <c r="B11" s="126">
        <v>0</v>
      </c>
      <c r="C11" s="126">
        <v>946000</v>
      </c>
      <c r="D11" s="126">
        <v>1424500</v>
      </c>
      <c r="E11" s="126">
        <v>1598000</v>
      </c>
      <c r="F11" s="126">
        <v>1771500</v>
      </c>
      <c r="G11" s="126">
        <v>1945000</v>
      </c>
      <c r="I11" s="157" t="s">
        <v>78</v>
      </c>
      <c r="J11" s="157"/>
      <c r="K11" s="157"/>
      <c r="L11" s="157"/>
    </row>
    <row r="12" spans="1:12" ht="12.75">
      <c r="A12" s="123" t="s">
        <v>24</v>
      </c>
      <c r="B12" s="118"/>
      <c r="C12" s="124" t="s">
        <v>28</v>
      </c>
      <c r="D12" s="124" t="s">
        <v>30</v>
      </c>
      <c r="E12" s="124" t="s">
        <v>31</v>
      </c>
      <c r="F12" s="124" t="s">
        <v>32</v>
      </c>
      <c r="G12" s="124" t="s">
        <v>32</v>
      </c>
      <c r="I12" s="20" t="s">
        <v>91</v>
      </c>
      <c r="J12" s="114" t="s">
        <v>79</v>
      </c>
      <c r="K12" s="21"/>
      <c r="L12" s="142" t="s">
        <v>80</v>
      </c>
    </row>
    <row r="13" spans="1:12" ht="12.75">
      <c r="A13" s="125"/>
      <c r="B13" s="118"/>
      <c r="C13" s="118"/>
      <c r="D13" s="118"/>
      <c r="E13" s="118"/>
      <c r="F13" s="118"/>
      <c r="G13" s="118"/>
      <c r="I13" s="139" t="s">
        <v>42</v>
      </c>
      <c r="J13" s="140">
        <v>100000</v>
      </c>
      <c r="K13" s="141">
        <f>3%*J13</f>
        <v>3000</v>
      </c>
      <c r="L13" s="140">
        <f aca="true" t="shared" si="0" ref="L13:L51">IF(K13&lt;20000,20000,K13)</f>
        <v>20000</v>
      </c>
    </row>
    <row r="14" spans="1:12" ht="12.75">
      <c r="A14" s="119" t="s">
        <v>47</v>
      </c>
      <c r="B14" s="118"/>
      <c r="C14" s="126">
        <f>C11*0.07</f>
        <v>66220</v>
      </c>
      <c r="D14" s="126">
        <f>D11*10%</f>
        <v>142450</v>
      </c>
      <c r="E14" s="126">
        <f>E11*12%</f>
        <v>191760</v>
      </c>
      <c r="F14" s="126">
        <f>F11*15%</f>
        <v>265725</v>
      </c>
      <c r="G14" s="126">
        <f>G11*15%</f>
        <v>291750</v>
      </c>
      <c r="I14" s="139" t="s">
        <v>42</v>
      </c>
      <c r="J14" s="140">
        <v>200000</v>
      </c>
      <c r="K14" s="141">
        <f aca="true" t="shared" si="1" ref="K14:K24">3%*J14</f>
        <v>6000</v>
      </c>
      <c r="L14" s="140">
        <f t="shared" si="0"/>
        <v>20000</v>
      </c>
    </row>
    <row r="15" spans="1:12" ht="12.75">
      <c r="A15" s="120"/>
      <c r="B15" s="118"/>
      <c r="C15" s="122">
        <f>B14+C14</f>
        <v>66220</v>
      </c>
      <c r="D15" s="118"/>
      <c r="E15" s="122">
        <f>D14+E14</f>
        <v>334210</v>
      </c>
      <c r="F15" s="118"/>
      <c r="G15" s="122">
        <f>F14+G14</f>
        <v>557475</v>
      </c>
      <c r="I15" s="139" t="s">
        <v>42</v>
      </c>
      <c r="J15" s="140">
        <v>300000</v>
      </c>
      <c r="K15" s="141">
        <f t="shared" si="1"/>
        <v>9000</v>
      </c>
      <c r="L15" s="140">
        <f t="shared" si="0"/>
        <v>20000</v>
      </c>
    </row>
    <row r="16" spans="1:12" ht="12.75">
      <c r="A16" s="120"/>
      <c r="B16" s="118"/>
      <c r="C16" s="118"/>
      <c r="D16" s="118"/>
      <c r="E16" s="118"/>
      <c r="F16" s="118"/>
      <c r="G16" s="118"/>
      <c r="I16" s="139" t="s">
        <v>42</v>
      </c>
      <c r="J16" s="140">
        <v>400000</v>
      </c>
      <c r="K16" s="141">
        <f t="shared" si="1"/>
        <v>12000</v>
      </c>
      <c r="L16" s="140">
        <f t="shared" si="0"/>
        <v>20000</v>
      </c>
    </row>
    <row r="17" spans="1:12" ht="15.75">
      <c r="A17" s="117" t="s">
        <v>74</v>
      </c>
      <c r="B17" s="118"/>
      <c r="C17" s="118"/>
      <c r="D17" s="118"/>
      <c r="E17" s="118"/>
      <c r="F17" s="118"/>
      <c r="G17" s="118"/>
      <c r="I17" s="139" t="s">
        <v>42</v>
      </c>
      <c r="J17" s="140">
        <v>500000</v>
      </c>
      <c r="K17" s="141">
        <f t="shared" si="1"/>
        <v>15000</v>
      </c>
      <c r="L17" s="140">
        <f t="shared" si="0"/>
        <v>20000</v>
      </c>
    </row>
    <row r="18" spans="1:12" ht="12.75">
      <c r="A18" s="120"/>
      <c r="B18" s="121">
        <v>2015</v>
      </c>
      <c r="C18" s="121">
        <v>2016</v>
      </c>
      <c r="D18" s="121">
        <v>2017</v>
      </c>
      <c r="E18" s="121">
        <v>2018</v>
      </c>
      <c r="F18" s="121">
        <v>2019</v>
      </c>
      <c r="G18" s="121">
        <v>2020</v>
      </c>
      <c r="I18" s="139" t="s">
        <v>42</v>
      </c>
      <c r="J18" s="140">
        <v>600000</v>
      </c>
      <c r="K18" s="141">
        <f t="shared" si="1"/>
        <v>18000</v>
      </c>
      <c r="L18" s="140">
        <f t="shared" si="0"/>
        <v>20000</v>
      </c>
    </row>
    <row r="19" spans="1:12" ht="12.75">
      <c r="A19" s="119" t="s">
        <v>81</v>
      </c>
      <c r="B19" s="127">
        <v>0</v>
      </c>
      <c r="C19" s="126">
        <v>716000</v>
      </c>
      <c r="D19" s="126">
        <v>1000000</v>
      </c>
      <c r="E19" s="126">
        <v>1300000</v>
      </c>
      <c r="F19" s="126">
        <v>1500000</v>
      </c>
      <c r="G19" s="126">
        <v>1700000</v>
      </c>
      <c r="I19" s="139" t="s">
        <v>26</v>
      </c>
      <c r="J19" s="140">
        <v>700000</v>
      </c>
      <c r="K19" s="141">
        <f t="shared" si="1"/>
        <v>21000</v>
      </c>
      <c r="L19" s="140">
        <f t="shared" si="0"/>
        <v>21000</v>
      </c>
    </row>
    <row r="20" spans="1:12" ht="12.75">
      <c r="A20" s="123" t="s">
        <v>24</v>
      </c>
      <c r="B20" s="118"/>
      <c r="C20" s="124" t="s">
        <v>48</v>
      </c>
      <c r="D20" s="124" t="s">
        <v>28</v>
      </c>
      <c r="E20" s="124" t="s">
        <v>30</v>
      </c>
      <c r="F20" s="124" t="s">
        <v>30</v>
      </c>
      <c r="G20" s="124" t="s">
        <v>31</v>
      </c>
      <c r="I20" s="139" t="s">
        <v>26</v>
      </c>
      <c r="J20" s="140">
        <v>725000</v>
      </c>
      <c r="K20" s="141">
        <f t="shared" si="1"/>
        <v>21750</v>
      </c>
      <c r="L20" s="140">
        <f t="shared" si="0"/>
        <v>21750</v>
      </c>
    </row>
    <row r="21" spans="1:12" ht="12.75">
      <c r="A21" s="120"/>
      <c r="B21" s="118"/>
      <c r="C21" s="118"/>
      <c r="D21" s="118"/>
      <c r="E21" s="118"/>
      <c r="F21" s="118"/>
      <c r="G21" s="118"/>
      <c r="I21" s="139" t="s">
        <v>26</v>
      </c>
      <c r="J21" s="140">
        <v>750000</v>
      </c>
      <c r="K21" s="141">
        <f t="shared" si="1"/>
        <v>22500</v>
      </c>
      <c r="L21" s="140">
        <f t="shared" si="0"/>
        <v>22500</v>
      </c>
    </row>
    <row r="22" spans="1:12" ht="12.75">
      <c r="A22" s="119" t="s">
        <v>47</v>
      </c>
      <c r="B22" s="118"/>
      <c r="C22" s="122">
        <f>C19*3%</f>
        <v>21480</v>
      </c>
      <c r="D22" s="122">
        <f>D19*7%</f>
        <v>70000</v>
      </c>
      <c r="E22" s="122">
        <f>E19*10%</f>
        <v>130000</v>
      </c>
      <c r="F22" s="122">
        <f>F19*10%</f>
        <v>150000</v>
      </c>
      <c r="G22" s="122">
        <f>G19*12%</f>
        <v>204000</v>
      </c>
      <c r="I22" s="139" t="s">
        <v>26</v>
      </c>
      <c r="J22" s="140">
        <v>775000</v>
      </c>
      <c r="K22" s="141">
        <f t="shared" si="1"/>
        <v>23250</v>
      </c>
      <c r="L22" s="140">
        <f t="shared" si="0"/>
        <v>23250</v>
      </c>
    </row>
    <row r="23" spans="1:12" ht="12.75">
      <c r="A23" s="120"/>
      <c r="B23" s="118"/>
      <c r="C23" s="122">
        <f>B22+C22</f>
        <v>21480</v>
      </c>
      <c r="D23" s="118"/>
      <c r="E23" s="122">
        <f>D22+E22</f>
        <v>200000</v>
      </c>
      <c r="F23" s="118"/>
      <c r="G23" s="122">
        <f>F22+G22</f>
        <v>354000</v>
      </c>
      <c r="I23" s="139" t="s">
        <v>26</v>
      </c>
      <c r="J23" s="140">
        <v>780000</v>
      </c>
      <c r="K23" s="141">
        <f t="shared" si="1"/>
        <v>23400</v>
      </c>
      <c r="L23" s="140">
        <f t="shared" si="0"/>
        <v>23400</v>
      </c>
    </row>
    <row r="24" spans="9:12" ht="12.75">
      <c r="I24" s="139" t="s">
        <v>26</v>
      </c>
      <c r="J24" s="140">
        <v>799999</v>
      </c>
      <c r="K24" s="141">
        <f t="shared" si="1"/>
        <v>23999.969999999998</v>
      </c>
      <c r="L24" s="140">
        <f t="shared" si="0"/>
        <v>23999.969999999998</v>
      </c>
    </row>
    <row r="25" spans="9:12" ht="12.75">
      <c r="I25" s="139" t="s">
        <v>27</v>
      </c>
      <c r="J25" s="140">
        <v>800000</v>
      </c>
      <c r="K25" s="141">
        <f>5%*J25</f>
        <v>40000</v>
      </c>
      <c r="L25" s="140">
        <f t="shared" si="0"/>
        <v>40000</v>
      </c>
    </row>
    <row r="26" spans="3:12" ht="12.75">
      <c r="C26" s="113"/>
      <c r="I26" s="139" t="s">
        <v>27</v>
      </c>
      <c r="J26" s="140">
        <v>830000</v>
      </c>
      <c r="K26" s="141">
        <f>5%*J26</f>
        <v>41500</v>
      </c>
      <c r="L26" s="140">
        <f t="shared" si="0"/>
        <v>41500</v>
      </c>
    </row>
    <row r="27" spans="1:12" ht="12.75">
      <c r="A27" s="119" t="s">
        <v>49</v>
      </c>
      <c r="B27" s="118"/>
      <c r="C27" s="137">
        <f>C19/C11</f>
        <v>0.7568710359408034</v>
      </c>
      <c r="D27" s="137">
        <f>D19/D11</f>
        <v>0.702000702000702</v>
      </c>
      <c r="E27" s="137">
        <f>E19/E11</f>
        <v>0.8135168961201502</v>
      </c>
      <c r="F27" s="137">
        <f>F19/F11</f>
        <v>0.8467400508044031</v>
      </c>
      <c r="G27" s="137">
        <f>G19/G11</f>
        <v>0.8740359897172236</v>
      </c>
      <c r="I27" s="139" t="s">
        <v>27</v>
      </c>
      <c r="J27" s="140">
        <v>860000</v>
      </c>
      <c r="K27" s="141">
        <f>5%*J27</f>
        <v>43000</v>
      </c>
      <c r="L27" s="140">
        <f t="shared" si="0"/>
        <v>43000</v>
      </c>
    </row>
    <row r="28" spans="1:12" ht="12.75">
      <c r="A28" s="120"/>
      <c r="B28" s="118"/>
      <c r="C28" s="118"/>
      <c r="D28" s="118"/>
      <c r="E28" s="118"/>
      <c r="F28" s="118"/>
      <c r="G28" s="118"/>
      <c r="I28" s="139" t="s">
        <v>27</v>
      </c>
      <c r="J28" s="140">
        <v>899999</v>
      </c>
      <c r="K28" s="141">
        <f>5%*J28</f>
        <v>44999.950000000004</v>
      </c>
      <c r="L28" s="140">
        <f t="shared" si="0"/>
        <v>44999.950000000004</v>
      </c>
    </row>
    <row r="29" spans="1:12" ht="12.75">
      <c r="A29" s="119" t="s">
        <v>50</v>
      </c>
      <c r="B29" s="118"/>
      <c r="C29" s="118"/>
      <c r="D29" s="137">
        <f>D11/C11-1</f>
        <v>0.5058139534883721</v>
      </c>
      <c r="E29" s="137">
        <f>E11/D11-1</f>
        <v>0.12179712179712188</v>
      </c>
      <c r="F29" s="137">
        <f>F11/E11-1</f>
        <v>0.10857321652065077</v>
      </c>
      <c r="G29" s="137">
        <f>G11/F11-1</f>
        <v>0.09793959920970918</v>
      </c>
      <c r="I29" s="139" t="s">
        <v>28</v>
      </c>
      <c r="J29" s="140">
        <v>900000</v>
      </c>
      <c r="K29" s="141">
        <f>7%*J29</f>
        <v>63000.00000000001</v>
      </c>
      <c r="L29" s="140">
        <f t="shared" si="0"/>
        <v>63000.00000000001</v>
      </c>
    </row>
    <row r="30" spans="1:12" ht="12.75">
      <c r="A30" s="119" t="s">
        <v>89</v>
      </c>
      <c r="B30" s="118"/>
      <c r="C30" s="118"/>
      <c r="D30" s="137">
        <f>D19/C19-1</f>
        <v>0.3966480446927374</v>
      </c>
      <c r="E30" s="137">
        <f>E19/D19-1</f>
        <v>0.30000000000000004</v>
      </c>
      <c r="F30" s="137">
        <f>F19/E19-1</f>
        <v>0.15384615384615374</v>
      </c>
      <c r="G30" s="137">
        <f>G19/F19-1</f>
        <v>0.1333333333333333</v>
      </c>
      <c r="I30" s="139" t="s">
        <v>28</v>
      </c>
      <c r="J30" s="140">
        <v>930000</v>
      </c>
      <c r="K30" s="141">
        <f>7%*J30</f>
        <v>65100.00000000001</v>
      </c>
      <c r="L30" s="140">
        <f t="shared" si="0"/>
        <v>65100.00000000001</v>
      </c>
    </row>
    <row r="31" spans="9:12" ht="12.75">
      <c r="I31" s="139" t="s">
        <v>28</v>
      </c>
      <c r="J31" s="140">
        <v>960000</v>
      </c>
      <c r="K31" s="141">
        <f>7%*J31</f>
        <v>67200</v>
      </c>
      <c r="L31" s="140">
        <f t="shared" si="0"/>
        <v>67200</v>
      </c>
    </row>
    <row r="32" spans="1:12" ht="12.75">
      <c r="A32" s="128"/>
      <c r="B32" s="129"/>
      <c r="C32" s="129"/>
      <c r="D32" s="129"/>
      <c r="E32" s="129"/>
      <c r="F32" s="129"/>
      <c r="G32" s="129"/>
      <c r="I32" s="139" t="s">
        <v>28</v>
      </c>
      <c r="J32" s="140">
        <v>999999</v>
      </c>
      <c r="K32" s="141">
        <f>7%*J32</f>
        <v>69999.93000000001</v>
      </c>
      <c r="L32" s="140">
        <f t="shared" si="0"/>
        <v>69999.93000000001</v>
      </c>
    </row>
    <row r="33" spans="1:12" ht="15.75">
      <c r="A33" s="130" t="s">
        <v>76</v>
      </c>
      <c r="B33" s="129"/>
      <c r="C33" s="129"/>
      <c r="D33" s="129"/>
      <c r="E33" s="129"/>
      <c r="F33" s="129"/>
      <c r="G33" s="129"/>
      <c r="I33" s="139" t="s">
        <v>29</v>
      </c>
      <c r="J33" s="140">
        <v>1000000</v>
      </c>
      <c r="K33" s="141">
        <f>8%*J33</f>
        <v>80000</v>
      </c>
      <c r="L33" s="140">
        <f t="shared" si="0"/>
        <v>80000</v>
      </c>
    </row>
    <row r="34" spans="1:12" ht="12.75">
      <c r="A34" s="131" t="s">
        <v>51</v>
      </c>
      <c r="B34" s="129"/>
      <c r="C34" s="129"/>
      <c r="D34" s="129"/>
      <c r="E34" s="129"/>
      <c r="F34" s="129"/>
      <c r="G34" s="129"/>
      <c r="I34" s="139" t="s">
        <v>29</v>
      </c>
      <c r="J34" s="140">
        <v>1100000</v>
      </c>
      <c r="K34" s="141">
        <f>8%*J34</f>
        <v>88000</v>
      </c>
      <c r="L34" s="140">
        <f t="shared" si="0"/>
        <v>88000</v>
      </c>
    </row>
    <row r="35" spans="1:12" ht="12.75">
      <c r="A35" s="131" t="s">
        <v>52</v>
      </c>
      <c r="B35" s="129"/>
      <c r="C35" s="129"/>
      <c r="D35" s="129"/>
      <c r="E35" s="129"/>
      <c r="F35" s="129"/>
      <c r="G35" s="129"/>
      <c r="I35" s="139" t="s">
        <v>29</v>
      </c>
      <c r="J35" s="140">
        <v>1199999</v>
      </c>
      <c r="K35" s="141">
        <f>8%*J35</f>
        <v>95999.92</v>
      </c>
      <c r="L35" s="140">
        <f t="shared" si="0"/>
        <v>95999.92</v>
      </c>
    </row>
    <row r="36" spans="1:12" ht="12.75">
      <c r="A36" s="128"/>
      <c r="B36" s="132">
        <v>2015</v>
      </c>
      <c r="C36" s="132">
        <v>2016</v>
      </c>
      <c r="D36" s="132">
        <v>2017</v>
      </c>
      <c r="E36" s="132">
        <v>2018</v>
      </c>
      <c r="F36" s="132">
        <v>2019</v>
      </c>
      <c r="G36" s="132">
        <v>2020</v>
      </c>
      <c r="I36" s="139" t="s">
        <v>30</v>
      </c>
      <c r="J36" s="140">
        <v>1200000</v>
      </c>
      <c r="K36" s="141">
        <f>10%*J36</f>
        <v>120000</v>
      </c>
      <c r="L36" s="140">
        <f t="shared" si="0"/>
        <v>120000</v>
      </c>
    </row>
    <row r="37" spans="1:12" ht="12.75">
      <c r="A37" s="133" t="s">
        <v>82</v>
      </c>
      <c r="B37" s="129"/>
      <c r="C37" s="134">
        <f>C11</f>
        <v>946000</v>
      </c>
      <c r="D37" s="134">
        <f>D11-11000-275000</f>
        <v>1138500</v>
      </c>
      <c r="E37" s="134">
        <f>E11-14000-350000</f>
        <v>1234000</v>
      </c>
      <c r="F37" s="134">
        <f>F11-17000-425000</f>
        <v>1329500</v>
      </c>
      <c r="G37" s="134">
        <f>G11-20000-500000</f>
        <v>1425000</v>
      </c>
      <c r="I37" s="139" t="s">
        <v>30</v>
      </c>
      <c r="J37" s="140">
        <v>1300000</v>
      </c>
      <c r="K37" s="141">
        <f>10%*J37</f>
        <v>130000</v>
      </c>
      <c r="L37" s="140">
        <f t="shared" si="0"/>
        <v>130000</v>
      </c>
    </row>
    <row r="38" spans="1:12" ht="12.75">
      <c r="A38" s="133" t="s">
        <v>24</v>
      </c>
      <c r="B38" s="129"/>
      <c r="C38" s="135" t="s">
        <v>28</v>
      </c>
      <c r="D38" s="135" t="s">
        <v>29</v>
      </c>
      <c r="E38" s="135" t="s">
        <v>30</v>
      </c>
      <c r="F38" s="135" t="s">
        <v>30</v>
      </c>
      <c r="G38" s="135" t="s">
        <v>30</v>
      </c>
      <c r="I38" s="139" t="s">
        <v>30</v>
      </c>
      <c r="J38" s="140">
        <v>1400000</v>
      </c>
      <c r="K38" s="141">
        <f>10%*J38</f>
        <v>140000</v>
      </c>
      <c r="L38" s="140">
        <f t="shared" si="0"/>
        <v>140000</v>
      </c>
    </row>
    <row r="39" spans="1:12" ht="12.75">
      <c r="A39" s="128"/>
      <c r="B39" s="129"/>
      <c r="C39" s="129"/>
      <c r="D39" s="129"/>
      <c r="E39" s="129"/>
      <c r="F39" s="129"/>
      <c r="G39" s="129"/>
      <c r="I39" s="139" t="s">
        <v>30</v>
      </c>
      <c r="J39" s="140">
        <v>1499999</v>
      </c>
      <c r="K39" s="141">
        <f>10%*J39</f>
        <v>149999.9</v>
      </c>
      <c r="L39" s="140">
        <f t="shared" si="0"/>
        <v>149999.9</v>
      </c>
    </row>
    <row r="40" spans="1:12" ht="12.75">
      <c r="A40" s="131" t="s">
        <v>47</v>
      </c>
      <c r="B40" s="129"/>
      <c r="C40" s="136">
        <f>C37*0.07</f>
        <v>66220</v>
      </c>
      <c r="D40" s="136">
        <f>D37*8%</f>
        <v>91080</v>
      </c>
      <c r="E40" s="136">
        <f>E37*10%</f>
        <v>123400</v>
      </c>
      <c r="F40" s="136">
        <f>F37*10%</f>
        <v>132950</v>
      </c>
      <c r="G40" s="136">
        <f>G37*10%</f>
        <v>142500</v>
      </c>
      <c r="I40" s="139" t="s">
        <v>31</v>
      </c>
      <c r="J40" s="140">
        <v>1500000</v>
      </c>
      <c r="K40" s="141">
        <f>J40*12%</f>
        <v>180000</v>
      </c>
      <c r="L40" s="140">
        <f t="shared" si="0"/>
        <v>180000</v>
      </c>
    </row>
    <row r="41" spans="1:12" ht="12.75">
      <c r="A41" s="131" t="s">
        <v>90</v>
      </c>
      <c r="B41" s="129"/>
      <c r="C41" s="134">
        <f>MROUND(B40+C40,5000)</f>
        <v>65000</v>
      </c>
      <c r="D41" s="129"/>
      <c r="E41" s="134">
        <f>MROUND(D40+E40,5000)</f>
        <v>215000</v>
      </c>
      <c r="F41" s="129"/>
      <c r="G41" s="134">
        <f>MROUND(F40+G40,5000)</f>
        <v>275000</v>
      </c>
      <c r="I41" s="139" t="s">
        <v>31</v>
      </c>
      <c r="J41" s="140">
        <v>1600000</v>
      </c>
      <c r="K41" s="141">
        <f>J41*12%</f>
        <v>192000</v>
      </c>
      <c r="L41" s="140">
        <f t="shared" si="0"/>
        <v>192000</v>
      </c>
    </row>
    <row r="42" spans="1:12" ht="12.75">
      <c r="A42" s="128"/>
      <c r="B42" s="129"/>
      <c r="C42" s="134"/>
      <c r="D42" s="129"/>
      <c r="E42" s="134"/>
      <c r="F42" s="129"/>
      <c r="G42" s="134"/>
      <c r="I42" s="139" t="s">
        <v>31</v>
      </c>
      <c r="J42" s="140">
        <v>1700000</v>
      </c>
      <c r="K42" s="141">
        <f>J42*12%</f>
        <v>204000</v>
      </c>
      <c r="L42" s="140">
        <f t="shared" si="0"/>
        <v>204000</v>
      </c>
    </row>
    <row r="43" spans="9:12" ht="12.75">
      <c r="I43" s="139" t="s">
        <v>31</v>
      </c>
      <c r="J43" s="140">
        <v>1799999</v>
      </c>
      <c r="K43" s="141">
        <f>J43*12%</f>
        <v>215999.88</v>
      </c>
      <c r="L43" s="140">
        <f t="shared" si="0"/>
        <v>215999.88</v>
      </c>
    </row>
    <row r="44" spans="1:12" ht="15.75">
      <c r="A44" s="117" t="s">
        <v>77</v>
      </c>
      <c r="B44" s="118"/>
      <c r="C44" s="118"/>
      <c r="D44" s="118"/>
      <c r="E44" s="118"/>
      <c r="F44" s="118"/>
      <c r="G44" s="118"/>
      <c r="I44" s="139" t="s">
        <v>32</v>
      </c>
      <c r="J44" s="140">
        <v>1800000</v>
      </c>
      <c r="K44" s="141">
        <f>15%*J44</f>
        <v>270000</v>
      </c>
      <c r="L44" s="140">
        <f t="shared" si="0"/>
        <v>270000</v>
      </c>
    </row>
    <row r="45" spans="1:12" ht="12.75">
      <c r="A45" s="119"/>
      <c r="B45" s="118"/>
      <c r="C45" s="118"/>
      <c r="D45" s="118"/>
      <c r="E45" s="118"/>
      <c r="F45" s="118"/>
      <c r="G45" s="118"/>
      <c r="I45" s="139" t="s">
        <v>32</v>
      </c>
      <c r="J45" s="140">
        <v>1900000</v>
      </c>
      <c r="K45" s="141">
        <f aca="true" t="shared" si="2" ref="K45:K51">15%*J45</f>
        <v>285000</v>
      </c>
      <c r="L45" s="140">
        <f t="shared" si="0"/>
        <v>285000</v>
      </c>
    </row>
    <row r="46" spans="1:12" ht="12.75">
      <c r="A46" s="120"/>
      <c r="B46" s="121">
        <v>2015</v>
      </c>
      <c r="C46" s="121">
        <v>2016</v>
      </c>
      <c r="D46" s="121">
        <v>2017</v>
      </c>
      <c r="E46" s="121">
        <v>2018</v>
      </c>
      <c r="F46" s="121">
        <v>2019</v>
      </c>
      <c r="G46" s="121">
        <v>2020</v>
      </c>
      <c r="I46" s="139" t="s">
        <v>32</v>
      </c>
      <c r="J46" s="140">
        <v>2000000</v>
      </c>
      <c r="K46" s="141">
        <f t="shared" si="2"/>
        <v>300000</v>
      </c>
      <c r="L46" s="140">
        <f t="shared" si="0"/>
        <v>300000</v>
      </c>
    </row>
    <row r="47" spans="1:12" ht="12.75">
      <c r="A47" s="119" t="s">
        <v>83</v>
      </c>
      <c r="B47" s="118"/>
      <c r="C47" s="122">
        <f>70%*C11</f>
        <v>662200</v>
      </c>
      <c r="D47" s="122">
        <f>70%*D11-11000-275000</f>
        <v>711149.9999999999</v>
      </c>
      <c r="E47" s="122">
        <f>80%*E11-14000-350000</f>
        <v>914400</v>
      </c>
      <c r="F47" s="122">
        <f>F11*85%-425000-17000</f>
        <v>1063775</v>
      </c>
      <c r="G47" s="122">
        <f>G11*90%-500000-20000</f>
        <v>1230500</v>
      </c>
      <c r="I47" s="139" t="s">
        <v>32</v>
      </c>
      <c r="J47" s="140">
        <v>2100000</v>
      </c>
      <c r="K47" s="141">
        <f t="shared" si="2"/>
        <v>315000</v>
      </c>
      <c r="L47" s="140">
        <f t="shared" si="0"/>
        <v>315000</v>
      </c>
    </row>
    <row r="48" spans="1:12" ht="12.75">
      <c r="A48" s="123" t="s">
        <v>24</v>
      </c>
      <c r="B48" s="118"/>
      <c r="C48" s="124" t="s">
        <v>26</v>
      </c>
      <c r="D48" s="124" t="s">
        <v>26</v>
      </c>
      <c r="E48" s="124" t="s">
        <v>28</v>
      </c>
      <c r="F48" s="124" t="s">
        <v>29</v>
      </c>
      <c r="G48" s="124" t="s">
        <v>30</v>
      </c>
      <c r="I48" s="139" t="s">
        <v>32</v>
      </c>
      <c r="J48" s="140">
        <v>2200000</v>
      </c>
      <c r="K48" s="141">
        <f t="shared" si="2"/>
        <v>330000</v>
      </c>
      <c r="L48" s="140">
        <f t="shared" si="0"/>
        <v>330000</v>
      </c>
    </row>
    <row r="49" spans="1:12" ht="12.75">
      <c r="A49" s="120"/>
      <c r="B49" s="118"/>
      <c r="C49" s="118"/>
      <c r="D49" s="118"/>
      <c r="E49" s="118"/>
      <c r="F49" s="118"/>
      <c r="G49" s="118"/>
      <c r="I49" s="139" t="s">
        <v>32</v>
      </c>
      <c r="J49" s="140">
        <v>2300000</v>
      </c>
      <c r="K49" s="141">
        <f t="shared" si="2"/>
        <v>345000</v>
      </c>
      <c r="L49" s="140">
        <f t="shared" si="0"/>
        <v>345000</v>
      </c>
    </row>
    <row r="50" spans="1:12" ht="12.75">
      <c r="A50" s="119" t="s">
        <v>47</v>
      </c>
      <c r="B50" s="118"/>
      <c r="C50" s="122">
        <v>20000</v>
      </c>
      <c r="D50" s="122">
        <f>D47*3%</f>
        <v>21334.499999999996</v>
      </c>
      <c r="E50" s="122">
        <f>E47*7%</f>
        <v>64008.00000000001</v>
      </c>
      <c r="F50" s="122">
        <f>F47*8%</f>
        <v>85102</v>
      </c>
      <c r="G50" s="122">
        <f>G47*10%</f>
        <v>123050</v>
      </c>
      <c r="I50" s="139" t="s">
        <v>32</v>
      </c>
      <c r="J50" s="140">
        <v>2400000</v>
      </c>
      <c r="K50" s="141">
        <f t="shared" si="2"/>
        <v>360000</v>
      </c>
      <c r="L50" s="140">
        <f t="shared" si="0"/>
        <v>360000</v>
      </c>
    </row>
    <row r="51" spans="1:12" ht="12.75">
      <c r="A51" s="120"/>
      <c r="B51" s="118"/>
      <c r="C51" s="122">
        <f>C50+B50</f>
        <v>20000</v>
      </c>
      <c r="D51" s="118"/>
      <c r="E51" s="122">
        <f>E50+D50</f>
        <v>85342.5</v>
      </c>
      <c r="F51" s="118"/>
      <c r="G51" s="122">
        <f>G50+F50</f>
        <v>208152</v>
      </c>
      <c r="I51" s="139" t="s">
        <v>32</v>
      </c>
      <c r="J51" s="140">
        <v>2500000</v>
      </c>
      <c r="K51" s="141">
        <f t="shared" si="2"/>
        <v>375000</v>
      </c>
      <c r="L51" s="140">
        <f t="shared" si="0"/>
        <v>375000</v>
      </c>
    </row>
  </sheetData>
  <sheetProtection/>
  <mergeCells count="4">
    <mergeCell ref="A6:A7"/>
    <mergeCell ref="C6:H6"/>
    <mergeCell ref="C7:H7"/>
    <mergeCell ref="I11:L11"/>
  </mergeCells>
  <printOptions/>
  <pageMargins left="0.7" right="0.7" top="0.75" bottom="0.75" header="0.3" footer="0.3"/>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pageSetUpPr fitToPage="1"/>
  </sheetPr>
  <dimension ref="A2:I31"/>
  <sheetViews>
    <sheetView zoomScalePageLayoutView="0" workbookViewId="0" topLeftCell="A1">
      <selection activeCell="C20" activeCellId="2" sqref="B15:D16 C18:D18 C20:D20"/>
    </sheetView>
  </sheetViews>
  <sheetFormatPr defaultColWidth="9.140625" defaultRowHeight="12.75"/>
  <cols>
    <col min="1" max="1" width="48.00390625" style="0" customWidth="1"/>
    <col min="2" max="2" width="11.28125" style="0" bestFit="1" customWidth="1"/>
    <col min="3" max="7" width="10.28125" style="0" bestFit="1" customWidth="1"/>
    <col min="8" max="8" width="11.00390625" style="0" customWidth="1"/>
  </cols>
  <sheetData>
    <row r="2" ht="12.75">
      <c r="A2" s="34" t="s">
        <v>53</v>
      </c>
    </row>
    <row r="3" spans="1:8" ht="39" customHeight="1">
      <c r="A3" s="23" t="s">
        <v>54</v>
      </c>
      <c r="B3" s="28" t="s">
        <v>55</v>
      </c>
      <c r="C3" s="29" t="s">
        <v>56</v>
      </c>
      <c r="D3" s="30" t="s">
        <v>57</v>
      </c>
      <c r="E3" s="31" t="s">
        <v>58</v>
      </c>
      <c r="F3" s="32" t="s">
        <v>59</v>
      </c>
      <c r="G3" s="32" t="s">
        <v>60</v>
      </c>
      <c r="H3" s="32" t="s">
        <v>63</v>
      </c>
    </row>
    <row r="4" spans="1:9" ht="14.25">
      <c r="A4" s="24" t="s">
        <v>61</v>
      </c>
      <c r="B4" s="25">
        <v>31238.97680143373</v>
      </c>
      <c r="C4" s="26">
        <v>16282.43057462203</v>
      </c>
      <c r="D4" s="26">
        <v>42796.13536449829</v>
      </c>
      <c r="E4" s="27">
        <v>31827.4498067396</v>
      </c>
      <c r="F4" s="27">
        <v>7607.868691676609</v>
      </c>
      <c r="G4" s="2">
        <v>42957.471860356694</v>
      </c>
      <c r="H4" s="2">
        <f>ROUND(AVERAGE(B4:G4),-3)</f>
        <v>29000</v>
      </c>
      <c r="I4" s="144" t="s">
        <v>92</v>
      </c>
    </row>
    <row r="5" spans="1:9" ht="14.25">
      <c r="A5" s="116"/>
      <c r="B5" s="26"/>
      <c r="C5" s="26"/>
      <c r="D5" s="26"/>
      <c r="E5" s="27"/>
      <c r="F5" s="27"/>
      <c r="G5" s="143"/>
      <c r="H5" s="143"/>
      <c r="I5" s="6" t="s">
        <v>87</v>
      </c>
    </row>
    <row r="6" spans="1:9" ht="14.25">
      <c r="A6" s="24"/>
      <c r="B6" s="115"/>
      <c r="C6" s="26"/>
      <c r="D6" s="26"/>
      <c r="E6" s="27"/>
      <c r="F6" s="27"/>
      <c r="G6" s="143"/>
      <c r="H6" s="143"/>
      <c r="I6" s="6" t="s">
        <v>105</v>
      </c>
    </row>
    <row r="7" ht="12.75">
      <c r="A7" s="34" t="s">
        <v>22</v>
      </c>
    </row>
    <row r="8" ht="12.75">
      <c r="A8" s="6" t="s">
        <v>62</v>
      </c>
    </row>
    <row r="10" ht="12.75">
      <c r="B10" s="13">
        <f>ROUND(75000*1.1,-4)</f>
        <v>80000</v>
      </c>
    </row>
    <row r="12" ht="12.75">
      <c r="A12" s="33" t="s">
        <v>88</v>
      </c>
    </row>
    <row r="13" spans="2:8" ht="12.75">
      <c r="B13" s="12" t="s">
        <v>72</v>
      </c>
      <c r="C13">
        <v>2015</v>
      </c>
      <c r="D13" s="100">
        <v>2016</v>
      </c>
      <c r="E13" s="100">
        <v>2017</v>
      </c>
      <c r="F13" s="100">
        <v>2018</v>
      </c>
      <c r="G13" s="100">
        <v>2019</v>
      </c>
      <c r="H13" s="100">
        <v>2020</v>
      </c>
    </row>
    <row r="14" spans="1:2" ht="12.75">
      <c r="A14" s="6" t="s">
        <v>66</v>
      </c>
      <c r="B14" s="22">
        <f>ROUND(18865.36,-2)</f>
        <v>18900</v>
      </c>
    </row>
    <row r="15" spans="1:2" ht="12.75">
      <c r="A15" s="6" t="s">
        <v>64</v>
      </c>
      <c r="B15" s="13">
        <f>ROUND(8250,-2)</f>
        <v>8300</v>
      </c>
    </row>
    <row r="16" spans="1:8" ht="12.75">
      <c r="A16" s="6" t="s">
        <v>65</v>
      </c>
      <c r="B16" s="13">
        <f>ROUND(3798.78,-2)</f>
        <v>3800</v>
      </c>
      <c r="C16" s="13"/>
      <c r="D16" s="13"/>
      <c r="E16" s="13"/>
      <c r="F16" s="13"/>
      <c r="G16" s="13"/>
      <c r="H16" s="13"/>
    </row>
    <row r="17" spans="1:8" ht="12.75">
      <c r="A17" s="6" t="s">
        <v>93</v>
      </c>
      <c r="C17" s="13">
        <v>28800</v>
      </c>
      <c r="D17" s="13">
        <f>C17*1.05</f>
        <v>30240</v>
      </c>
      <c r="E17" s="13">
        <f>D17*1.05</f>
        <v>31752</v>
      </c>
      <c r="F17" s="13">
        <f>E17*1.05</f>
        <v>33339.6</v>
      </c>
      <c r="G17" s="13">
        <f>F17*1.05</f>
        <v>35006.58</v>
      </c>
      <c r="H17" s="13">
        <f>G17*1.05</f>
        <v>36756.90900000001</v>
      </c>
    </row>
    <row r="18" spans="1:8" ht="12.75">
      <c r="A18" s="6" t="s">
        <v>94</v>
      </c>
      <c r="C18" s="13">
        <v>5000</v>
      </c>
      <c r="D18" s="13">
        <v>5000</v>
      </c>
      <c r="E18" s="13">
        <v>5000</v>
      </c>
      <c r="F18" s="13">
        <v>5000</v>
      </c>
      <c r="G18" s="13">
        <v>5000</v>
      </c>
      <c r="H18" s="13">
        <v>5000</v>
      </c>
    </row>
    <row r="19" spans="1:8" ht="12.75">
      <c r="A19" s="6" t="s">
        <v>95</v>
      </c>
      <c r="C19" s="13">
        <f>C29</f>
        <v>13000</v>
      </c>
      <c r="D19" s="145">
        <f>C19*1.05</f>
        <v>13650</v>
      </c>
      <c r="E19" s="13">
        <f>D19*1.05</f>
        <v>14332.5</v>
      </c>
      <c r="F19" s="13">
        <f>E19*1.05</f>
        <v>15049.125</v>
      </c>
      <c r="G19" s="13">
        <f>F19*1.05</f>
        <v>15801.581250000001</v>
      </c>
      <c r="H19" s="13">
        <f>G19*1.05</f>
        <v>16591.6603125</v>
      </c>
    </row>
    <row r="20" spans="1:8" ht="12.75">
      <c r="A20" s="6" t="s">
        <v>96</v>
      </c>
      <c r="C20" s="13">
        <f>C31</f>
        <v>2500</v>
      </c>
      <c r="D20" s="13">
        <f>$C$31</f>
        <v>2500</v>
      </c>
      <c r="E20" s="13">
        <f>$C$31</f>
        <v>2500</v>
      </c>
      <c r="F20" s="13">
        <f>$C$31</f>
        <v>2500</v>
      </c>
      <c r="G20" s="13">
        <f>$C$31</f>
        <v>2500</v>
      </c>
      <c r="H20" s="13">
        <f>$C$31</f>
        <v>2500</v>
      </c>
    </row>
    <row r="21" spans="1:8" ht="12.75">
      <c r="A21" s="33"/>
      <c r="B21" s="35">
        <f>SUM(B14:B20)</f>
        <v>31000</v>
      </c>
      <c r="C21" s="35">
        <f aca="true" t="shared" si="0" ref="C21:H21">SUM(C14:C20)</f>
        <v>49300</v>
      </c>
      <c r="D21" s="35">
        <f t="shared" si="0"/>
        <v>51390</v>
      </c>
      <c r="E21" s="35">
        <f t="shared" si="0"/>
        <v>53584.5</v>
      </c>
      <c r="F21" s="35">
        <f t="shared" si="0"/>
        <v>55888.725</v>
      </c>
      <c r="G21" s="35">
        <f t="shared" si="0"/>
        <v>58308.161250000005</v>
      </c>
      <c r="H21" s="35">
        <f t="shared" si="0"/>
        <v>60848.56931250001</v>
      </c>
    </row>
    <row r="22" spans="6:7" ht="12.75">
      <c r="F22" s="13"/>
      <c r="G22" s="13"/>
    </row>
    <row r="23" spans="1:7" ht="12.75">
      <c r="A23" s="146" t="s">
        <v>106</v>
      </c>
      <c r="F23" s="13"/>
      <c r="G23" s="13"/>
    </row>
    <row r="24" spans="1:7" ht="12.75">
      <c r="A24" s="111" t="s">
        <v>104</v>
      </c>
      <c r="F24" s="13"/>
      <c r="G24" s="13"/>
    </row>
    <row r="25" ht="12.75">
      <c r="A25" s="111" t="s">
        <v>103</v>
      </c>
    </row>
    <row r="26" spans="1:2" ht="12.75">
      <c r="A26" s="1" t="s">
        <v>97</v>
      </c>
      <c r="B26" s="16">
        <v>5236.7</v>
      </c>
    </row>
    <row r="27" spans="1:2" ht="12.75">
      <c r="A27" s="1" t="s">
        <v>100</v>
      </c>
      <c r="B27" s="16">
        <v>2984.93</v>
      </c>
    </row>
    <row r="28" spans="1:2" ht="12.75">
      <c r="A28" s="1" t="s">
        <v>101</v>
      </c>
      <c r="B28" s="16">
        <v>942.6</v>
      </c>
    </row>
    <row r="29" spans="1:3" ht="12.75">
      <c r="A29" s="1" t="s">
        <v>102</v>
      </c>
      <c r="B29" s="16">
        <v>3613.33</v>
      </c>
      <c r="C29" s="13">
        <f>MROUND(SUM(B26:B29),500)</f>
        <v>13000</v>
      </c>
    </row>
    <row r="30" spans="1:3" ht="12.75">
      <c r="A30" s="1" t="s">
        <v>98</v>
      </c>
      <c r="B30" s="16">
        <v>902.54</v>
      </c>
      <c r="C30" s="13"/>
    </row>
    <row r="31" spans="1:3" ht="12.75">
      <c r="A31" s="1" t="s">
        <v>99</v>
      </c>
      <c r="B31" s="16">
        <v>1552.31</v>
      </c>
      <c r="C31" s="13">
        <f>MROUND(SUM(B30:B31),500)</f>
        <v>2500</v>
      </c>
    </row>
  </sheetData>
  <sheetProtection/>
  <printOptions/>
  <pageMargins left="0.7" right="0.7" top="0.75" bottom="0.75" header="0.3" footer="0.3"/>
  <pageSetup fitToHeight="0" fitToWidth="1" horizontalDpi="600" verticalDpi="600" orientation="landscape"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2015-08-11T20:28:22Z</cp:lastPrinted>
  <dcterms:created xsi:type="dcterms:W3CDTF">1999-06-02T23:29:55Z</dcterms:created>
  <dcterms:modified xsi:type="dcterms:W3CDTF">2015-11-19T22:15:58Z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