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20" windowWidth="20700" windowHeight="11760" activeTab="1"/>
  </bookViews>
  <sheets>
    <sheet name="Sheet1" sheetId="1" r:id="rId1"/>
    <sheet name="VHSL Fund Balance (4)" sheetId="4" r:id="rId2"/>
    <sheet name="Sheet2" sheetId="2" r:id="rId3"/>
    <sheet name="Sheet3" sheetId="3" r:id="rId4"/>
  </sheets>
  <definedNames>
    <definedName name="_xlnm.Print_Area" localSheetId="1">'VHSL Fund Balance (4)'!$A$1:$M$79</definedName>
    <definedName name="_xlnm.Print_Titles" localSheetId="1">'VHSL Fund Balance (4)'!$A:$B,'VHSL Fund Balance (4)'!$1:$4</definedName>
  </definedNames>
  <calcPr calcId="145621"/>
</workbook>
</file>

<file path=xl/sharedStrings.xml><?xml version="1.0" encoding="utf-8"?>
<sst xmlns="http://schemas.openxmlformats.org/spreadsheetml/2006/main" count="140" uniqueCount="126">
  <si>
    <t>Underspending by Area</t>
  </si>
  <si>
    <t>Strategy 1 Veterans</t>
  </si>
  <si>
    <t xml:space="preserve">   </t>
  </si>
  <si>
    <t>Expand Geographic Range of KCVP</t>
  </si>
  <si>
    <t>Increase Capacity of KCVP</t>
  </si>
  <si>
    <t>Dedicated Phone Resources for Vets</t>
  </si>
  <si>
    <t>Training for Community Providers</t>
  </si>
  <si>
    <t>Sub Total Strategy 1</t>
  </si>
  <si>
    <t>Strategy 2 Homelessness</t>
  </si>
  <si>
    <t>Initiatives to Identify and Engage Long Term Homeless</t>
  </si>
  <si>
    <t>Investment in Supportive Services</t>
  </si>
  <si>
    <t>Permanent Housing Placements for CJ</t>
  </si>
  <si>
    <t>Housing Stability Program</t>
  </si>
  <si>
    <t>Sub Total Strategy 2</t>
  </si>
  <si>
    <t>Strategy 3 Behavioral Health</t>
  </si>
  <si>
    <t>Train Providers on PTSD</t>
  </si>
  <si>
    <t>In Home Services for Depression</t>
  </si>
  <si>
    <t>Sub Total Strategy 3</t>
  </si>
  <si>
    <t>Strategy 4 Strengthening Families</t>
  </si>
  <si>
    <t>Treatment Resources for Family Treatment Court</t>
  </si>
  <si>
    <t>Sub Total Strategy 4</t>
  </si>
  <si>
    <t>Strategy 5 Management and Evaluation</t>
  </si>
  <si>
    <t>Evaluation</t>
  </si>
  <si>
    <t>Cross System Planning: Foster Youth</t>
  </si>
  <si>
    <t>Planning, Training, and Service Design</t>
  </si>
  <si>
    <t>HIPPA Consulting</t>
  </si>
  <si>
    <t>Develop Common Data Set</t>
  </si>
  <si>
    <t>Facilitation of Partnerships</t>
  </si>
  <si>
    <t>Sub Total Strategy 5</t>
  </si>
  <si>
    <t>Administration and Board Support</t>
  </si>
  <si>
    <t>Total Underspent</t>
  </si>
  <si>
    <t xml:space="preserve">Amount of Underspend </t>
  </si>
  <si>
    <t>Budgeted Amount 2006-2011</t>
  </si>
  <si>
    <t xml:space="preserve"> </t>
  </si>
  <si>
    <t>Percent Underspent</t>
  </si>
  <si>
    <t>Veterans and Human Services Levy - Fund Balance Analysis</t>
  </si>
  <si>
    <t>Strategy</t>
  </si>
  <si>
    <t>Program Dollars Per Plan                      2006-2011</t>
  </si>
  <si>
    <t>Dollars Per Adopted Budget                        2006-2011</t>
  </si>
  <si>
    <r>
      <t>2011-13th Month Encumbered Balance</t>
    </r>
  </si>
  <si>
    <t>Percent Spent</t>
  </si>
  <si>
    <t xml:space="preserve">Unspent Dollars </t>
  </si>
  <si>
    <t>By Substrategy</t>
  </si>
  <si>
    <t>Balance</t>
  </si>
  <si>
    <t>Overall</t>
  </si>
  <si>
    <t>Comments</t>
  </si>
  <si>
    <t>Overarching Strategy 1: Veterans</t>
  </si>
  <si>
    <t>Expand geographic range of the King County Veterans Program</t>
  </si>
  <si>
    <t>Satellite site cost savings and delayed hiring of staff, plus funds reserved for delayed renewal/closeout and gradual downsizing if levy not renewed.</t>
  </si>
  <si>
    <t>Increase capacity of the King County Veterans Program</t>
  </si>
  <si>
    <t>Provide dedicated phone resource for veterans</t>
  </si>
  <si>
    <t>Delay start and contractor (WDVA) unable to spend out</t>
  </si>
  <si>
    <t>Provide training and information for community providers on Veterans Administration services and linkages</t>
  </si>
  <si>
    <t>Funds not used - Training provided through Strategies 3.2 &amp; 3.3 training dollars instead.</t>
  </si>
  <si>
    <t>Strategy 1 Total:</t>
  </si>
  <si>
    <t>Overarching Strategy 2: Homelessness</t>
  </si>
  <si>
    <t>Initiatives to identify, engage and house long-term homeless people</t>
  </si>
  <si>
    <t>Increase permanent housing with supportive services</t>
  </si>
  <si>
    <t>Landlord Risk Reduction Fund</t>
  </si>
  <si>
    <t>Investment in supportive services for housing</t>
  </si>
  <si>
    <t>Contractor (HHOT-Homeless Health Outreach Team) unable to spend out</t>
  </si>
  <si>
    <t>King County Criminal Justice Initiative (KCCJI) housing and supportive services</t>
  </si>
  <si>
    <t>Permanent housing placement supports for Criminal Justice parents exiting transitional housing</t>
  </si>
  <si>
    <t>Housing stability program</t>
  </si>
  <si>
    <t>Contractor unable to spend out as planned in 2011.</t>
  </si>
  <si>
    <t>Link education and employment to housing and supportive services</t>
  </si>
  <si>
    <t>Strategy 2 Total:</t>
  </si>
  <si>
    <t>Overarching Strategy 3: Behavioral Health</t>
  </si>
  <si>
    <t>Integrate Mental Health/Chemical Dependancy into primary care clinics</t>
  </si>
  <si>
    <t>Training programs in trauma sensitive and Post Traumatic Stress Disorder treatment</t>
  </si>
  <si>
    <t>Train behavioral health providers in PTSD</t>
  </si>
  <si>
    <t>Delayed start/contractor (WDVA) unable to spend out.</t>
  </si>
  <si>
    <t>In-home services to treat depression in elderly vets, spouses and other elderly</t>
  </si>
  <si>
    <t>Contract compliance issue caused underexpenditure.</t>
  </si>
  <si>
    <t>Strategy 3 Total:</t>
  </si>
  <si>
    <t>Overarching Strategy 4: Strengthening Families</t>
  </si>
  <si>
    <t>Expand Nurse Family Partnership and add linkages to employment opportunities</t>
  </si>
  <si>
    <t>Pilot new services for maternal depression</t>
  </si>
  <si>
    <t>Early childhood intervention and prevention</t>
  </si>
  <si>
    <t>Early intervention support for parents exiting Criminal Justice system, living in transitional housing</t>
  </si>
  <si>
    <t>Invest in education and employment for single parents exiting Criminal Justice system</t>
  </si>
  <si>
    <t>Provide treatment for parents involved with Family Treatment Court for child dependency cases</t>
  </si>
  <si>
    <t>Strategy 4 Total:</t>
  </si>
  <si>
    <t>Overarching Strategy 5: Resource Management and Evaluation</t>
  </si>
  <si>
    <t>Underexpenditure/reserved for closeout evaluation activities if levy not renewed.</t>
  </si>
  <si>
    <t>Cross system planning and start-up initiatives for youth aging out of the foster care system</t>
  </si>
  <si>
    <t>One time activity not yet implemented/re-appropriate HS Levy dollars to implement homeless youth funders group.</t>
  </si>
  <si>
    <t>Profile of offenders with mental illnesses and co-occurring substance use disorders</t>
  </si>
  <si>
    <t>Planning, training, and service design efforts</t>
  </si>
  <si>
    <t>Underexpenditure/reserved for closeout activities if levy not renewed.</t>
  </si>
  <si>
    <t>Facilitate Homeless Management Information System (Safe Harbors)</t>
  </si>
  <si>
    <t>Enhance Information Systems to support administration and evaluation of the Levy</t>
  </si>
  <si>
    <t>Consultation and training related to Health Insurance Portability and Accountability Act (HIPAA)</t>
  </si>
  <si>
    <t>Cost savings from using in-house staff rather than outside consultants.</t>
  </si>
  <si>
    <t>Develop common data set for assessment of adults, youth and families seeking a range of human services</t>
  </si>
  <si>
    <t>Spent less than budgeted for consultants.</t>
  </si>
  <si>
    <t>Facilitation of ongoing partnerships</t>
  </si>
  <si>
    <t>Underexpenditure</t>
  </si>
  <si>
    <t>Strategy 5 Total:</t>
  </si>
  <si>
    <t>SIP Program - Subtotal:</t>
  </si>
  <si>
    <t>Total Encumbrances as of 13th Month 2011 ARMS</t>
  </si>
  <si>
    <t>SIP Program - Total</t>
  </si>
  <si>
    <t>Percent of available program dollars spent:</t>
  </si>
  <si>
    <t>Underexpenditure/reserved for closeout admin activities/costs if levy not renewed.</t>
  </si>
  <si>
    <t>Underexpenditure of start-up/planning funding. Reserved for closeout and ramp down of Veterans Financial Assistance if levy renew is delayed or not renewed.</t>
  </si>
  <si>
    <t>Admin/Board/Planning &amp; Start Up - Subtotal:</t>
  </si>
  <si>
    <t>Percent of available dollars spent:</t>
  </si>
  <si>
    <t>Total:</t>
  </si>
  <si>
    <t>Underspent Program/Admin Dollars</t>
  </si>
  <si>
    <t>Available for reappropriation.</t>
  </si>
  <si>
    <t>Add:</t>
  </si>
  <si>
    <t>Available VHSL dollars held as required Fund Balance Reserve</t>
  </si>
  <si>
    <t>Held for use as fund balance for new VHSL.</t>
  </si>
  <si>
    <t>Excess Millage Collection not reprogrammed by end of 2011</t>
  </si>
  <si>
    <t xml:space="preserve">Reconciled to VHSL Fund Balance Available: </t>
  </si>
  <si>
    <t>Agrees to PSB total of $8,770,636</t>
  </si>
  <si>
    <t xml:space="preserve">Program Per SIP </t>
  </si>
  <si>
    <t>5.1 Salaries and Benefits Only</t>
  </si>
  <si>
    <t>Central and OH atributable to 5.1</t>
  </si>
  <si>
    <t>Balance Available (w/Salaries and Benefits Only)</t>
  </si>
  <si>
    <t>Balance Available (w/Allocated Central and OH)</t>
  </si>
  <si>
    <t xml:space="preserve">Administration &amp; Board Support </t>
  </si>
  <si>
    <t>Percent Unspent</t>
  </si>
  <si>
    <t>2006-2011 Expended and Encumbered</t>
  </si>
  <si>
    <r>
      <t>Planning &amp; Start-up</t>
    </r>
    <r>
      <rPr>
        <vertAlign val="superscript"/>
        <sz val="11"/>
        <rFont val="Arial"/>
        <family val="2"/>
      </rPr>
      <t xml:space="preserve"> </t>
    </r>
  </si>
  <si>
    <t>GRAND TOTAL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</si>
</sst>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6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6" fontId="2" fillId="0" borderId="4" xfId="0" applyNumberFormat="1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6" fontId="3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6" fontId="2" fillId="0" borderId="7" xfId="0" applyNumberFormat="1" applyFont="1" applyBorder="1" applyAlignment="1">
      <alignment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6" fontId="2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64" fontId="3" fillId="0" borderId="2" xfId="18" applyNumberFormat="1" applyFont="1" applyBorder="1" applyAlignment="1">
      <alignment horizontal="right" vertical="center"/>
    </xf>
    <xf numFmtId="164" fontId="3" fillId="0" borderId="2" xfId="18" applyNumberFormat="1" applyFont="1" applyBorder="1" applyAlignment="1">
      <alignment horizontal="right" vertical="center" wrapText="1"/>
    </xf>
    <xf numFmtId="164" fontId="3" fillId="0" borderId="5" xfId="18" applyNumberFormat="1" applyFont="1" applyBorder="1" applyAlignment="1">
      <alignment horizontal="right" vertical="center"/>
    </xf>
    <xf numFmtId="164" fontId="2" fillId="0" borderId="3" xfId="18" applyNumberFormat="1" applyFont="1" applyBorder="1" applyAlignment="1">
      <alignment horizontal="right" vertical="center"/>
    </xf>
    <xf numFmtId="164" fontId="2" fillId="0" borderId="2" xfId="18" applyNumberFormat="1" applyFont="1" applyBorder="1" applyAlignment="1">
      <alignment vertical="center"/>
    </xf>
    <xf numFmtId="164" fontId="2" fillId="0" borderId="10" xfId="18" applyNumberFormat="1" applyFont="1" applyBorder="1" applyAlignment="1">
      <alignment horizontal="right" vertical="center"/>
    </xf>
    <xf numFmtId="164" fontId="2" fillId="0" borderId="10" xfId="18" applyNumberFormat="1" applyFont="1" applyBorder="1" applyAlignment="1">
      <alignment vertical="center"/>
    </xf>
    <xf numFmtId="9" fontId="2" fillId="0" borderId="2" xfId="15" applyFont="1" applyBorder="1" applyAlignment="1">
      <alignment horizontal="center" vertical="center"/>
    </xf>
    <xf numFmtId="42" fontId="5" fillId="0" borderId="0" xfId="21" applyNumberFormat="1" applyFont="1" applyFill="1" applyBorder="1" applyAlignment="1" applyProtection="1">
      <alignment horizontal="right" vertical="center"/>
      <protection/>
    </xf>
    <xf numFmtId="42" fontId="6" fillId="0" borderId="11" xfId="20" applyNumberFormat="1" applyFont="1" applyFill="1" applyBorder="1" applyAlignment="1" applyProtection="1">
      <alignment/>
      <protection/>
    </xf>
    <xf numFmtId="42" fontId="6" fillId="0" borderId="0" xfId="20" applyNumberFormat="1" applyFont="1" applyFill="1" applyBorder="1" applyAlignment="1" applyProtection="1">
      <alignment/>
      <protection/>
    </xf>
    <xf numFmtId="42" fontId="6" fillId="0" borderId="0" xfId="20" applyNumberFormat="1" applyFont="1" applyFill="1" applyBorder="1" applyAlignment="1" applyProtection="1">
      <alignment wrapText="1"/>
      <protection/>
    </xf>
    <xf numFmtId="0" fontId="5" fillId="0" borderId="0" xfId="20" applyFont="1" applyFill="1" applyBorder="1" applyAlignment="1" applyProtection="1">
      <alignment horizontal="right" vertical="center"/>
      <protection/>
    </xf>
    <xf numFmtId="0" fontId="5" fillId="0" borderId="12" xfId="20" applyFont="1" applyFill="1" applyBorder="1" applyProtection="1">
      <alignment/>
      <protection/>
    </xf>
    <xf numFmtId="0" fontId="6" fillId="0" borderId="0" xfId="20" applyFont="1" applyFill="1" applyProtection="1">
      <alignment/>
      <protection/>
    </xf>
    <xf numFmtId="0" fontId="5" fillId="0" borderId="0" xfId="20" applyFont="1" applyFill="1" applyProtection="1">
      <alignment/>
      <protection/>
    </xf>
    <xf numFmtId="38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5" fillId="0" borderId="13" xfId="20" applyFont="1" applyFill="1" applyBorder="1" applyAlignment="1" applyProtection="1">
      <alignment vertical="center"/>
      <protection/>
    </xf>
    <xf numFmtId="0" fontId="5" fillId="0" borderId="14" xfId="20" applyFont="1" applyFill="1" applyBorder="1" applyAlignment="1" applyProtection="1">
      <alignment vertical="center"/>
      <protection/>
    </xf>
    <xf numFmtId="42" fontId="5" fillId="0" borderId="14" xfId="20" applyNumberFormat="1" applyFont="1" applyFill="1" applyBorder="1" applyAlignment="1" applyProtection="1">
      <alignment vertical="center"/>
      <protection/>
    </xf>
    <xf numFmtId="41" fontId="5" fillId="0" borderId="15" xfId="20" applyNumberFormat="1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49" fontId="6" fillId="0" borderId="14" xfId="20" applyNumberFormat="1" applyFont="1" applyBorder="1" applyAlignment="1" applyProtection="1">
      <alignment vertical="top" wrapText="1"/>
      <protection/>
    </xf>
    <xf numFmtId="41" fontId="6" fillId="0" borderId="16" xfId="21" applyNumberFormat="1" applyFont="1" applyFill="1" applyBorder="1" applyAlignment="1" applyProtection="1">
      <alignment vertical="center"/>
      <protection/>
    </xf>
    <xf numFmtId="9" fontId="6" fillId="0" borderId="14" xfId="15" applyFont="1" applyFill="1" applyBorder="1" applyAlignment="1" applyProtection="1">
      <alignment vertical="center"/>
      <protection/>
    </xf>
    <xf numFmtId="165" fontId="6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Alignment="1" applyProtection="1">
      <alignment vertical="center"/>
      <protection/>
    </xf>
    <xf numFmtId="49" fontId="6" fillId="0" borderId="14" xfId="20" applyNumberFormat="1" applyFont="1" applyFill="1" applyBorder="1" applyAlignment="1" applyProtection="1">
      <alignment vertical="top" wrapText="1"/>
      <protection/>
    </xf>
    <xf numFmtId="0" fontId="6" fillId="0" borderId="12" xfId="20" applyFont="1" applyFill="1" applyBorder="1" applyAlignment="1" applyProtection="1">
      <alignment vertical="center" wrapText="1"/>
      <protection/>
    </xf>
    <xf numFmtId="49" fontId="6" fillId="0" borderId="16" xfId="20" applyNumberFormat="1" applyFont="1" applyBorder="1" applyAlignment="1" applyProtection="1">
      <alignment vertical="top" wrapText="1"/>
      <protection/>
    </xf>
    <xf numFmtId="166" fontId="5" fillId="0" borderId="17" xfId="20" applyNumberFormat="1" applyFont="1" applyFill="1" applyBorder="1" applyAlignment="1" applyProtection="1">
      <alignment vertical="center"/>
      <protection/>
    </xf>
    <xf numFmtId="165" fontId="5" fillId="0" borderId="1" xfId="20" applyNumberFormat="1" applyFont="1" applyFill="1" applyBorder="1" applyAlignment="1" applyProtection="1">
      <alignment vertical="center"/>
      <protection/>
    </xf>
    <xf numFmtId="165" fontId="6" fillId="0" borderId="14" xfId="21" applyNumberFormat="1" applyFont="1" applyFill="1" applyBorder="1" applyAlignment="1" applyProtection="1">
      <alignment horizontal="left" vertical="center"/>
      <protection/>
    </xf>
    <xf numFmtId="41" fontId="6" fillId="0" borderId="16" xfId="21" applyNumberFormat="1" applyFont="1" applyBorder="1" applyAlignment="1" applyProtection="1">
      <alignment vertical="center"/>
      <protection/>
    </xf>
    <xf numFmtId="165" fontId="6" fillId="0" borderId="14" xfId="20" applyNumberFormat="1" applyFont="1" applyFill="1" applyBorder="1" applyAlignment="1" applyProtection="1">
      <alignment vertical="center"/>
      <protection/>
    </xf>
    <xf numFmtId="0" fontId="6" fillId="0" borderId="14" xfId="20" applyFont="1" applyFill="1" applyBorder="1" applyAlignment="1" applyProtection="1">
      <alignment vertical="top" wrapText="1"/>
      <protection/>
    </xf>
    <xf numFmtId="0" fontId="6" fillId="0" borderId="16" xfId="20" applyFont="1" applyFill="1" applyBorder="1" applyAlignment="1" applyProtection="1">
      <alignment vertical="top" wrapText="1"/>
      <protection/>
    </xf>
    <xf numFmtId="165" fontId="6" fillId="0" borderId="16" xfId="21" applyNumberFormat="1" applyFont="1" applyBorder="1" applyAlignment="1" applyProtection="1">
      <alignment vertical="center"/>
      <protection/>
    </xf>
    <xf numFmtId="0" fontId="6" fillId="0" borderId="14" xfId="20" applyFont="1" applyFill="1" applyBorder="1" applyAlignment="1" applyProtection="1">
      <alignment vertical="top"/>
      <protection/>
    </xf>
    <xf numFmtId="0" fontId="6" fillId="0" borderId="0" xfId="20" applyFont="1" applyFill="1" applyBorder="1" applyAlignment="1" applyProtection="1">
      <alignment vertical="center" wrapText="1"/>
      <protection/>
    </xf>
    <xf numFmtId="42" fontId="5" fillId="0" borderId="14" xfId="20" applyNumberFormat="1" applyFont="1" applyBorder="1" applyAlignment="1" applyProtection="1">
      <alignment horizontal="right"/>
      <protection/>
    </xf>
    <xf numFmtId="42" fontId="5" fillId="2" borderId="14" xfId="20" applyNumberFormat="1" applyFont="1" applyFill="1" applyBorder="1" applyAlignment="1" applyProtection="1">
      <alignment/>
      <protection/>
    </xf>
    <xf numFmtId="42" fontId="5" fillId="3" borderId="16" xfId="20" applyNumberFormat="1" applyFont="1" applyFill="1" applyBorder="1" applyAlignment="1" applyProtection="1">
      <alignment/>
      <protection/>
    </xf>
    <xf numFmtId="166" fontId="6" fillId="3" borderId="14" xfId="20" applyNumberFormat="1" applyFont="1" applyFill="1" applyBorder="1" applyAlignment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42" fontId="5" fillId="0" borderId="14" xfId="20" applyNumberFormat="1" applyFont="1" applyBorder="1" applyAlignment="1" applyProtection="1">
      <alignment horizontal="right" vertical="center"/>
      <protection/>
    </xf>
    <xf numFmtId="42" fontId="5" fillId="0" borderId="18" xfId="20" applyNumberFormat="1" applyFont="1" applyBorder="1" applyAlignment="1" applyProtection="1">
      <alignment horizontal="right" vertical="center"/>
      <protection/>
    </xf>
    <xf numFmtId="42" fontId="5" fillId="2" borderId="19" xfId="20" applyNumberFormat="1" applyFont="1" applyFill="1" applyBorder="1" applyAlignment="1" applyProtection="1">
      <alignment vertical="center"/>
      <protection/>
    </xf>
    <xf numFmtId="42" fontId="5" fillId="3" borderId="18" xfId="20" applyNumberFormat="1" applyFont="1" applyFill="1" applyBorder="1" applyAlignment="1" applyProtection="1">
      <alignment vertical="center"/>
      <protection/>
    </xf>
    <xf numFmtId="0" fontId="5" fillId="0" borderId="18" xfId="20" applyFont="1" applyFill="1" applyBorder="1" applyAlignment="1" applyProtection="1">
      <alignment vertical="center"/>
      <protection/>
    </xf>
    <xf numFmtId="166" fontId="6" fillId="0" borderId="14" xfId="20" applyNumberFormat="1" applyFont="1" applyFill="1" applyBorder="1" applyAlignment="1" applyProtection="1">
      <alignment vertical="center"/>
      <protection/>
    </xf>
    <xf numFmtId="42" fontId="5" fillId="2" borderId="14" xfId="20" applyNumberFormat="1" applyFont="1" applyFill="1" applyBorder="1" applyAlignment="1" applyProtection="1">
      <alignment vertical="center"/>
      <protection/>
    </xf>
    <xf numFmtId="42" fontId="5" fillId="3" borderId="16" xfId="20" applyNumberFormat="1" applyFont="1" applyFill="1" applyBorder="1" applyAlignment="1" applyProtection="1">
      <alignment vertical="center"/>
      <protection/>
    </xf>
    <xf numFmtId="42" fontId="5" fillId="0" borderId="20" xfId="20" applyNumberFormat="1" applyFont="1" applyFill="1" applyBorder="1" applyAlignment="1" applyProtection="1">
      <alignment vertical="center"/>
      <protection/>
    </xf>
    <xf numFmtId="165" fontId="5" fillId="0" borderId="0" xfId="20" applyNumberFormat="1" applyFont="1" applyFill="1" applyAlignment="1" applyProtection="1">
      <alignment vertical="center"/>
      <protection/>
    </xf>
    <xf numFmtId="0" fontId="5" fillId="0" borderId="14" xfId="20" applyFont="1" applyFill="1" applyBorder="1" applyAlignment="1" applyProtection="1">
      <alignment horizontal="right" vertical="center"/>
      <protection/>
    </xf>
    <xf numFmtId="165" fontId="5" fillId="0" borderId="14" xfId="21" applyNumberFormat="1" applyFont="1" applyFill="1" applyBorder="1" applyAlignment="1" applyProtection="1">
      <alignment horizontal="left" vertical="center"/>
      <protection/>
    </xf>
    <xf numFmtId="166" fontId="5" fillId="0" borderId="16" xfId="22" applyNumberFormat="1" applyFont="1" applyFill="1" applyBorder="1" applyAlignment="1" applyProtection="1">
      <alignment horizontal="right" vertical="center"/>
      <protection/>
    </xf>
    <xf numFmtId="166" fontId="5" fillId="0" borderId="20" xfId="22" applyNumberFormat="1" applyFont="1" applyFill="1" applyBorder="1" applyAlignment="1" applyProtection="1">
      <alignment horizontal="right" vertical="center"/>
      <protection/>
    </xf>
    <xf numFmtId="166" fontId="5" fillId="0" borderId="14" xfId="22" applyNumberFormat="1" applyFont="1" applyFill="1" applyBorder="1" applyAlignment="1" applyProtection="1">
      <alignment horizontal="right" vertical="center"/>
      <protection/>
    </xf>
    <xf numFmtId="166" fontId="5" fillId="0" borderId="0" xfId="22" applyNumberFormat="1" applyFont="1" applyFill="1" applyBorder="1" applyAlignment="1" applyProtection="1">
      <alignment horizontal="right" vertical="center"/>
      <protection/>
    </xf>
    <xf numFmtId="0" fontId="6" fillId="0" borderId="21" xfId="20" applyFont="1" applyFill="1" applyBorder="1" applyAlignment="1" applyProtection="1">
      <alignment horizontal="right" vertical="center"/>
      <protection/>
    </xf>
    <xf numFmtId="0" fontId="6" fillId="0" borderId="15" xfId="20" applyFont="1" applyFill="1" applyBorder="1" applyAlignment="1" applyProtection="1">
      <alignment vertical="center" wrapText="1"/>
      <protection/>
    </xf>
    <xf numFmtId="166" fontId="5" fillId="0" borderId="0" xfId="20" applyNumberFormat="1" applyFont="1" applyFill="1" applyBorder="1" applyAlignment="1" applyProtection="1">
      <alignment vertical="center"/>
      <protection/>
    </xf>
    <xf numFmtId="43" fontId="6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right" vertical="center"/>
      <protection/>
    </xf>
    <xf numFmtId="165" fontId="5" fillId="0" borderId="4" xfId="21" applyNumberFormat="1" applyFont="1" applyFill="1" applyBorder="1" applyAlignment="1" applyProtection="1">
      <alignment horizontal="left" vertical="center"/>
      <protection/>
    </xf>
    <xf numFmtId="9" fontId="5" fillId="0" borderId="4" xfId="15" applyFont="1" applyFill="1" applyBorder="1" applyAlignment="1" applyProtection="1">
      <alignment vertical="center"/>
      <protection/>
    </xf>
    <xf numFmtId="166" fontId="5" fillId="0" borderId="4" xfId="20" applyNumberFormat="1" applyFont="1" applyFill="1" applyBorder="1" applyAlignment="1" applyProtection="1">
      <alignment vertical="center"/>
      <protection/>
    </xf>
    <xf numFmtId="165" fontId="5" fillId="0" borderId="4" xfId="21" applyNumberFormat="1" applyFont="1" applyFill="1" applyBorder="1" applyAlignment="1" applyProtection="1">
      <alignment horizontal="right" vertical="center"/>
      <protection/>
    </xf>
    <xf numFmtId="165" fontId="5" fillId="0" borderId="4" xfId="21" applyNumberFormat="1" applyFont="1" applyBorder="1" applyAlignment="1" applyProtection="1">
      <alignment vertical="center"/>
      <protection/>
    </xf>
    <xf numFmtId="165" fontId="6" fillId="0" borderId="4" xfId="21" applyNumberFormat="1" applyFont="1" applyFill="1" applyBorder="1" applyAlignment="1" applyProtection="1">
      <alignment horizontal="right" vertical="center"/>
      <protection/>
    </xf>
    <xf numFmtId="165" fontId="6" fillId="0" borderId="4" xfId="21" applyNumberFormat="1" applyFont="1" applyFill="1" applyBorder="1" applyAlignment="1" applyProtection="1">
      <alignment horizontal="left" vertical="center"/>
      <protection/>
    </xf>
    <xf numFmtId="165" fontId="6" fillId="0" borderId="14" xfId="16" applyNumberFormat="1" applyFont="1" applyFill="1" applyBorder="1" applyAlignment="1" applyProtection="1">
      <alignment vertical="center"/>
      <protection/>
    </xf>
    <xf numFmtId="165" fontId="6" fillId="0" borderId="16" xfId="16" applyNumberFormat="1" applyFont="1" applyFill="1" applyBorder="1" applyAlignment="1" applyProtection="1">
      <alignment vertical="center"/>
      <protection/>
    </xf>
    <xf numFmtId="165" fontId="6" fillId="0" borderId="14" xfId="16" applyNumberFormat="1" applyFont="1" applyBorder="1" applyAlignment="1" applyProtection="1">
      <alignment vertical="center"/>
      <protection/>
    </xf>
    <xf numFmtId="165" fontId="6" fillId="0" borderId="16" xfId="16" applyNumberFormat="1" applyFont="1" applyBorder="1" applyAlignment="1" applyProtection="1">
      <alignment vertical="center"/>
      <protection/>
    </xf>
    <xf numFmtId="41" fontId="6" fillId="0" borderId="20" xfId="21" applyNumberFormat="1" applyFont="1" applyFill="1" applyBorder="1" applyAlignment="1" applyProtection="1">
      <alignment vertical="center"/>
      <protection/>
    </xf>
    <xf numFmtId="0" fontId="6" fillId="0" borderId="14" xfId="20" applyFont="1" applyFill="1" applyBorder="1" applyAlignment="1" applyProtection="1">
      <alignment horizontal="left" vertical="center"/>
      <protection/>
    </xf>
    <xf numFmtId="165" fontId="6" fillId="0" borderId="14" xfId="16" applyNumberFormat="1" applyFont="1" applyFill="1" applyBorder="1" applyAlignment="1" applyProtection="1">
      <alignment horizontal="left" vertical="center"/>
      <protection/>
    </xf>
    <xf numFmtId="166" fontId="6" fillId="0" borderId="0" xfId="20" applyNumberFormat="1" applyFont="1" applyFill="1" applyBorder="1" applyAlignment="1" applyProtection="1">
      <alignment vertical="center"/>
      <protection/>
    </xf>
    <xf numFmtId="42" fontId="5" fillId="0" borderId="0" xfId="20" applyNumberFormat="1" applyFont="1" applyFill="1" applyBorder="1" applyAlignment="1" applyProtection="1">
      <alignment horizontal="left" vertical="center"/>
      <protection/>
    </xf>
    <xf numFmtId="42" fontId="5" fillId="0" borderId="16" xfId="20" applyNumberFormat="1" applyFont="1" applyFill="1" applyBorder="1" applyAlignment="1" applyProtection="1">
      <alignment vertical="center"/>
      <protection/>
    </xf>
    <xf numFmtId="166" fontId="5" fillId="0" borderId="16" xfId="20" applyNumberFormat="1" applyFont="1" applyFill="1" applyBorder="1" applyAlignment="1" applyProtection="1">
      <alignment horizontal="right" vertical="center"/>
      <protection/>
    </xf>
    <xf numFmtId="166" fontId="5" fillId="0" borderId="20" xfId="20" applyNumberFormat="1" applyFont="1" applyFill="1" applyBorder="1" applyAlignment="1" applyProtection="1">
      <alignment horizontal="right" vertical="center"/>
      <protection/>
    </xf>
    <xf numFmtId="42" fontId="5" fillId="0" borderId="19" xfId="20" applyNumberFormat="1" applyFont="1" applyFill="1" applyBorder="1" applyAlignment="1" applyProtection="1">
      <alignment horizontal="right" vertical="center"/>
      <protection/>
    </xf>
    <xf numFmtId="42" fontId="5" fillId="0" borderId="22" xfId="20" applyNumberFormat="1" applyFont="1" applyFill="1" applyBorder="1" applyAlignment="1" applyProtection="1">
      <alignment horizontal="right" vertical="center"/>
      <protection/>
    </xf>
    <xf numFmtId="42" fontId="5" fillId="2" borderId="18" xfId="21" applyNumberFormat="1" applyFont="1" applyFill="1" applyBorder="1" applyAlignment="1" applyProtection="1">
      <alignment vertical="center"/>
      <protection/>
    </xf>
    <xf numFmtId="42" fontId="5" fillId="3" borderId="20" xfId="21" applyNumberFormat="1" applyFont="1" applyFill="1" applyBorder="1" applyAlignment="1" applyProtection="1">
      <alignment vertical="center"/>
      <protection/>
    </xf>
    <xf numFmtId="42" fontId="5" fillId="0" borderId="20" xfId="21" applyNumberFormat="1" applyFont="1" applyFill="1" applyBorder="1" applyAlignment="1" applyProtection="1">
      <alignment vertical="center"/>
      <protection/>
    </xf>
    <xf numFmtId="42" fontId="5" fillId="0" borderId="0" xfId="20" applyNumberFormat="1" applyFont="1" applyFill="1" applyAlignment="1" applyProtection="1">
      <alignment vertical="center"/>
      <protection/>
    </xf>
    <xf numFmtId="42" fontId="5" fillId="0" borderId="0" xfId="20" applyNumberFormat="1" applyFont="1" applyFill="1" applyBorder="1" applyAlignment="1" applyProtection="1">
      <alignment/>
      <protection/>
    </xf>
    <xf numFmtId="166" fontId="5" fillId="0" borderId="11" xfId="22" applyNumberFormat="1" applyFont="1" applyFill="1" applyBorder="1" applyAlignment="1" applyProtection="1">
      <alignment vertical="center"/>
      <protection/>
    </xf>
    <xf numFmtId="41" fontId="6" fillId="0" borderId="0" xfId="20" applyNumberFormat="1" applyFont="1" applyFill="1" applyBorder="1" applyAlignment="1" applyProtection="1">
      <alignment vertical="center"/>
      <protection/>
    </xf>
    <xf numFmtId="42" fontId="5" fillId="0" borderId="0" xfId="20" applyNumberFormat="1" applyFont="1" applyFill="1" applyBorder="1" applyAlignment="1" applyProtection="1">
      <alignment vertical="center"/>
      <protection/>
    </xf>
    <xf numFmtId="42" fontId="6" fillId="0" borderId="0" xfId="20" applyNumberFormat="1" applyFont="1" applyFill="1" applyAlignment="1" applyProtection="1">
      <alignment vertical="center" wrapText="1"/>
      <protection/>
    </xf>
    <xf numFmtId="42" fontId="6" fillId="0" borderId="12" xfId="20" applyNumberFormat="1" applyFont="1" applyFill="1" applyBorder="1" applyAlignment="1" applyProtection="1">
      <alignment vertical="center" wrapText="1"/>
      <protection/>
    </xf>
    <xf numFmtId="42" fontId="6" fillId="0" borderId="12" xfId="20" applyNumberFormat="1" applyFont="1" applyFill="1" applyBorder="1" applyAlignment="1" applyProtection="1">
      <alignment vertical="center"/>
      <protection/>
    </xf>
    <xf numFmtId="42" fontId="6" fillId="0" borderId="0" xfId="20" applyNumberFormat="1" applyFont="1" applyFill="1" applyProtection="1">
      <alignment/>
      <protection/>
    </xf>
    <xf numFmtId="41" fontId="6" fillId="0" borderId="0" xfId="20" applyNumberFormat="1" applyFont="1" applyFill="1" applyBorder="1" applyProtection="1">
      <alignment/>
      <protection/>
    </xf>
    <xf numFmtId="0" fontId="8" fillId="0" borderId="0" xfId="0" applyFont="1"/>
    <xf numFmtId="165" fontId="6" fillId="0" borderId="16" xfId="21" applyNumberFormat="1" applyFont="1" applyFill="1" applyBorder="1" applyAlignment="1" applyProtection="1">
      <alignment horizontal="left" vertical="center"/>
      <protection/>
    </xf>
    <xf numFmtId="0" fontId="5" fillId="0" borderId="21" xfId="20" applyFont="1" applyFill="1" applyBorder="1" applyAlignment="1" applyProtection="1">
      <alignment horizontal="right" vertical="center"/>
      <protection/>
    </xf>
    <xf numFmtId="0" fontId="5" fillId="0" borderId="17" xfId="20" applyFont="1" applyFill="1" applyBorder="1" applyAlignment="1" applyProtection="1">
      <alignment horizontal="right" vertical="center"/>
      <protection/>
    </xf>
    <xf numFmtId="42" fontId="5" fillId="0" borderId="4" xfId="20" applyNumberFormat="1" applyFont="1" applyFill="1" applyBorder="1" applyAlignment="1" applyProtection="1">
      <alignment horizontal="right" vertical="center"/>
      <protection/>
    </xf>
    <xf numFmtId="42" fontId="5" fillId="0" borderId="23" xfId="20" applyNumberFormat="1" applyFont="1" applyFill="1" applyBorder="1" applyAlignment="1" applyProtection="1">
      <alignment vertical="center"/>
      <protection/>
    </xf>
    <xf numFmtId="42" fontId="5" fillId="0" borderId="24" xfId="20" applyNumberFormat="1" applyFont="1" applyFill="1" applyBorder="1" applyAlignment="1" applyProtection="1">
      <alignment vertical="center"/>
      <protection/>
    </xf>
    <xf numFmtId="42" fontId="5" fillId="0" borderId="1" xfId="20" applyNumberFormat="1" applyFont="1" applyFill="1" applyBorder="1" applyAlignment="1" applyProtection="1">
      <alignment horizontal="left" vertical="center"/>
      <protection/>
    </xf>
    <xf numFmtId="0" fontId="5" fillId="0" borderId="12" xfId="20" applyFont="1" applyFill="1" applyBorder="1" applyAlignment="1" applyProtection="1">
      <alignment horizontal="center" vertical="center" wrapText="1"/>
      <protection/>
    </xf>
    <xf numFmtId="38" fontId="5" fillId="0" borderId="25" xfId="20" applyNumberFormat="1" applyFont="1" applyFill="1" applyBorder="1" applyAlignment="1" applyProtection="1">
      <alignment horizontal="center" vertical="center" wrapText="1"/>
      <protection/>
    </xf>
    <xf numFmtId="0" fontId="5" fillId="0" borderId="26" xfId="20" applyFont="1" applyFill="1" applyBorder="1" applyAlignment="1" applyProtection="1">
      <alignment horizontal="left" vertical="center"/>
      <protection/>
    </xf>
    <xf numFmtId="38" fontId="5" fillId="0" borderId="27" xfId="20" applyNumberFormat="1" applyFont="1" applyFill="1" applyBorder="1" applyAlignment="1" applyProtection="1">
      <alignment vertical="center"/>
      <protection/>
    </xf>
    <xf numFmtId="0" fontId="6" fillId="0" borderId="28" xfId="20" applyFont="1" applyFill="1" applyBorder="1" applyAlignment="1" applyProtection="1">
      <alignment horizontal="left" vertical="top"/>
      <protection/>
    </xf>
    <xf numFmtId="38" fontId="6" fillId="0" borderId="29" xfId="20" applyNumberFormat="1" applyFont="1" applyFill="1" applyBorder="1" applyAlignment="1" applyProtection="1">
      <alignment vertical="center"/>
      <protection/>
    </xf>
    <xf numFmtId="38" fontId="5" fillId="0" borderId="29" xfId="20" applyNumberFormat="1" applyFont="1" applyFill="1" applyBorder="1" applyAlignment="1" applyProtection="1">
      <alignment vertical="center"/>
      <protection/>
    </xf>
    <xf numFmtId="0" fontId="5" fillId="0" borderId="28" xfId="20" applyFont="1" applyFill="1" applyBorder="1" applyAlignment="1" applyProtection="1">
      <alignment horizontal="left" vertical="center"/>
      <protection/>
    </xf>
    <xf numFmtId="43" fontId="6" fillId="3" borderId="0" xfId="20" applyNumberFormat="1" applyFont="1" applyFill="1" applyBorder="1" applyAlignment="1" applyProtection="1">
      <alignment vertical="center"/>
      <protection/>
    </xf>
    <xf numFmtId="0" fontId="5" fillId="0" borderId="28" xfId="20" applyFont="1" applyFill="1" applyBorder="1" applyAlignment="1" applyProtection="1">
      <alignment horizontal="right" vertical="center"/>
      <protection/>
    </xf>
    <xf numFmtId="43" fontId="6" fillId="0" borderId="0" xfId="20" applyNumberFormat="1" applyFont="1" applyFill="1" applyBorder="1" applyAlignment="1" applyProtection="1">
      <alignment/>
      <protection/>
    </xf>
    <xf numFmtId="38" fontId="5" fillId="2" borderId="25" xfId="20" applyNumberFormat="1" applyFont="1" applyFill="1" applyBorder="1" applyAlignment="1" applyProtection="1">
      <alignment/>
      <protection/>
    </xf>
    <xf numFmtId="43" fontId="5" fillId="0" borderId="0" xfId="20" applyNumberFormat="1" applyFont="1" applyFill="1" applyBorder="1" applyAlignment="1" applyProtection="1">
      <alignment vertical="center"/>
      <protection/>
    </xf>
    <xf numFmtId="0" fontId="6" fillId="0" borderId="28" xfId="20" applyFont="1" applyFill="1" applyBorder="1" applyAlignment="1" applyProtection="1">
      <alignment horizontal="right" vertical="center"/>
      <protection/>
    </xf>
    <xf numFmtId="38" fontId="6" fillId="0" borderId="30" xfId="20" applyNumberFormat="1" applyFont="1" applyFill="1" applyBorder="1" applyAlignment="1" applyProtection="1">
      <alignment vertical="center"/>
      <protection/>
    </xf>
    <xf numFmtId="38" fontId="5" fillId="2" borderId="25" xfId="20" applyNumberFormat="1" applyFont="1" applyFill="1" applyBorder="1" applyAlignment="1" applyProtection="1">
      <alignment vertical="center"/>
      <protection/>
    </xf>
    <xf numFmtId="0" fontId="5" fillId="0" borderId="31" xfId="20" applyFont="1" applyFill="1" applyBorder="1" applyAlignment="1" applyProtection="1">
      <alignment horizontal="right" vertical="center"/>
      <protection/>
    </xf>
    <xf numFmtId="38" fontId="5" fillId="2" borderId="32" xfId="20" applyNumberFormat="1" applyFont="1" applyFill="1" applyBorder="1" applyAlignment="1" applyProtection="1">
      <alignment vertical="center"/>
      <protection/>
    </xf>
    <xf numFmtId="42" fontId="5" fillId="0" borderId="28" xfId="20" applyNumberFormat="1" applyFont="1" applyFill="1" applyBorder="1" applyAlignment="1" applyProtection="1">
      <alignment vertical="center"/>
      <protection/>
    </xf>
    <xf numFmtId="38" fontId="5" fillId="0" borderId="33" xfId="20" applyNumberFormat="1" applyFont="1" applyFill="1" applyBorder="1" applyAlignment="1" applyProtection="1">
      <alignment vertical="center"/>
      <protection/>
    </xf>
    <xf numFmtId="49" fontId="6" fillId="0" borderId="28" xfId="20" applyNumberFormat="1" applyFont="1" applyFill="1" applyBorder="1" applyAlignment="1" applyProtection="1">
      <alignment horizontal="right" vertical="top"/>
      <protection/>
    </xf>
    <xf numFmtId="42" fontId="5" fillId="0" borderId="28" xfId="20" applyNumberFormat="1" applyFont="1" applyFill="1" applyBorder="1" applyAlignment="1" applyProtection="1">
      <alignment horizontal="right" vertical="center"/>
      <protection/>
    </xf>
    <xf numFmtId="38" fontId="5" fillId="0" borderId="34" xfId="20" applyNumberFormat="1" applyFont="1" applyFill="1" applyBorder="1" applyAlignment="1" applyProtection="1">
      <alignment vertical="center"/>
      <protection/>
    </xf>
    <xf numFmtId="165" fontId="5" fillId="0" borderId="35" xfId="21" applyNumberFormat="1" applyFont="1" applyFill="1" applyBorder="1" applyAlignment="1" applyProtection="1">
      <alignment vertical="center"/>
      <protection/>
    </xf>
    <xf numFmtId="42" fontId="6" fillId="0" borderId="28" xfId="20" applyNumberFormat="1" applyFont="1" applyFill="1" applyBorder="1" applyAlignment="1" applyProtection="1">
      <alignment horizontal="right"/>
      <protection/>
    </xf>
    <xf numFmtId="42" fontId="6" fillId="0" borderId="0" xfId="20" applyNumberFormat="1" applyFont="1" applyFill="1" applyBorder="1" applyProtection="1">
      <alignment/>
      <protection/>
    </xf>
    <xf numFmtId="38" fontId="6" fillId="0" borderId="29" xfId="20" applyNumberFormat="1" applyFont="1" applyFill="1" applyBorder="1" applyProtection="1">
      <alignment/>
      <protection/>
    </xf>
    <xf numFmtId="0" fontId="6" fillId="0" borderId="28" xfId="20" applyFont="1" applyFill="1" applyBorder="1" applyAlignment="1" applyProtection="1">
      <alignment horizontal="right"/>
      <protection/>
    </xf>
    <xf numFmtId="0" fontId="6" fillId="0" borderId="0" xfId="20" applyFont="1" applyFill="1" applyBorder="1" applyProtection="1">
      <alignment/>
      <protection/>
    </xf>
    <xf numFmtId="0" fontId="6" fillId="0" borderId="28" xfId="20" applyFont="1" applyFill="1" applyBorder="1" applyProtection="1">
      <alignment/>
      <protection/>
    </xf>
    <xf numFmtId="0" fontId="6" fillId="0" borderId="29" xfId="20" applyFont="1" applyFill="1" applyBorder="1" applyProtection="1">
      <alignment/>
      <protection/>
    </xf>
    <xf numFmtId="0" fontId="5" fillId="0" borderId="0" xfId="20" applyFont="1" applyFill="1" applyBorder="1" applyAlignment="1" applyProtection="1">
      <alignment horizontal="right"/>
      <protection/>
    </xf>
    <xf numFmtId="0" fontId="6" fillId="0" borderId="0" xfId="20" applyFont="1" applyFill="1" applyBorder="1" applyAlignment="1" applyProtection="1">
      <alignment horizontal="right"/>
      <protection/>
    </xf>
    <xf numFmtId="0" fontId="8" fillId="0" borderId="6" xfId="0" applyFont="1" applyBorder="1"/>
    <xf numFmtId="0" fontId="9" fillId="0" borderId="7" xfId="0" applyFont="1" applyBorder="1" applyAlignment="1">
      <alignment horizontal="right"/>
    </xf>
    <xf numFmtId="0" fontId="8" fillId="0" borderId="7" xfId="0" applyFont="1" applyBorder="1"/>
    <xf numFmtId="42" fontId="9" fillId="0" borderId="7" xfId="0" applyNumberFormat="1" applyFont="1" applyBorder="1"/>
    <xf numFmtId="9" fontId="9" fillId="0" borderId="7" xfId="15" applyFont="1" applyBorder="1"/>
    <xf numFmtId="0" fontId="8" fillId="0" borderId="8" xfId="0" applyFont="1" applyBorder="1"/>
    <xf numFmtId="165" fontId="6" fillId="0" borderId="0" xfId="20" applyNumberFormat="1" applyFont="1" applyFill="1" applyAlignment="1" applyProtection="1">
      <alignment vertical="center"/>
      <protection/>
    </xf>
    <xf numFmtId="0" fontId="6" fillId="0" borderId="12" xfId="20" applyFont="1" applyFill="1" applyBorder="1" applyAlignment="1" applyProtection="1">
      <alignment horizontal="left" vertical="center" wrapText="1"/>
      <protection/>
    </xf>
    <xf numFmtId="0" fontId="5" fillId="0" borderId="36" xfId="20" applyFont="1" applyFill="1" applyBorder="1" applyAlignment="1" applyProtection="1">
      <alignment horizontal="center" vertical="center" textRotation="90" wrapText="1"/>
      <protection/>
    </xf>
    <xf numFmtId="0" fontId="5" fillId="0" borderId="12" xfId="20" applyFont="1" applyFill="1" applyBorder="1" applyAlignment="1" applyProtection="1">
      <alignment horizontal="center" vertical="center" textRotation="90" wrapText="1"/>
      <protection/>
    </xf>
    <xf numFmtId="0" fontId="5" fillId="0" borderId="0" xfId="20" applyFont="1" applyFill="1" applyBorder="1" applyAlignment="1" applyProtection="1">
      <alignment horizontal="center"/>
      <protection/>
    </xf>
    <xf numFmtId="0" fontId="5" fillId="0" borderId="37" xfId="20" applyFont="1" applyFill="1" applyBorder="1" applyAlignment="1" applyProtection="1">
      <alignment horizontal="center" vertical="center" wrapText="1"/>
      <protection/>
    </xf>
    <xf numFmtId="0" fontId="5" fillId="0" borderId="36" xfId="20" applyFont="1" applyFill="1" applyBorder="1" applyAlignment="1" applyProtection="1">
      <alignment horizontal="center" vertical="center" wrapText="1"/>
      <protection/>
    </xf>
    <xf numFmtId="0" fontId="5" fillId="0" borderId="38" xfId="20" applyFont="1" applyFill="1" applyBorder="1" applyAlignment="1" applyProtection="1">
      <alignment horizontal="center" vertical="center" wrapText="1"/>
      <protection/>
    </xf>
    <xf numFmtId="0" fontId="5" fillId="0" borderId="12" xfId="20" applyFont="1" applyFill="1" applyBorder="1" applyAlignment="1" applyProtection="1">
      <alignment horizontal="center" vertical="center" wrapText="1"/>
      <protection/>
    </xf>
    <xf numFmtId="0" fontId="5" fillId="0" borderId="39" xfId="20" applyFont="1" applyFill="1" applyBorder="1" applyAlignment="1" applyProtection="1">
      <alignment horizontal="center" vertical="center" wrapText="1"/>
      <protection/>
    </xf>
    <xf numFmtId="0" fontId="5" fillId="0" borderId="16" xfId="20" applyFont="1" applyFill="1" applyBorder="1" applyAlignment="1" applyProtection="1">
      <alignment horizontal="center" vertical="center" wrapText="1"/>
      <protection/>
    </xf>
    <xf numFmtId="0" fontId="5" fillId="0" borderId="18" xfId="20" applyFont="1" applyFill="1" applyBorder="1" applyAlignment="1" applyProtection="1">
      <alignment horizontal="center" vertical="center" wrapText="1"/>
      <protection/>
    </xf>
    <xf numFmtId="0" fontId="5" fillId="0" borderId="36" xfId="20" applyFont="1" applyFill="1" applyBorder="1" applyAlignment="1" applyProtection="1">
      <alignment horizontal="center" wrapText="1"/>
      <protection/>
    </xf>
    <xf numFmtId="0" fontId="5" fillId="0" borderId="40" xfId="20" applyFont="1" applyFill="1" applyBorder="1" applyAlignment="1" applyProtection="1">
      <alignment horizontal="center" wrapText="1"/>
      <protection/>
    </xf>
    <xf numFmtId="0" fontId="5" fillId="0" borderId="12" xfId="20" applyFont="1" applyFill="1" applyBorder="1" applyAlignment="1" applyProtection="1">
      <alignment horizontal="center" wrapText="1"/>
      <protection/>
    </xf>
    <xf numFmtId="0" fontId="5" fillId="0" borderId="25" xfId="20" applyFont="1" applyFill="1" applyBorder="1" applyAlignment="1" applyProtection="1">
      <alignment horizont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Percent 2" xfId="22"/>
    <cellStyle name="Comma 2" xfId="23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="120" zoomScaleNormal="120" workbookViewId="0" topLeftCell="A18">
      <selection activeCell="A37" sqref="A37"/>
    </sheetView>
  </sheetViews>
  <sheetFormatPr defaultColWidth="9.140625" defaultRowHeight="15"/>
  <cols>
    <col min="1" max="1" width="48.57421875" style="0" customWidth="1"/>
    <col min="2" max="2" width="22.7109375" style="0" customWidth="1"/>
    <col min="3" max="3" width="19.00390625" style="0" customWidth="1"/>
    <col min="4" max="4" width="18.421875" style="0" customWidth="1"/>
  </cols>
  <sheetData>
    <row r="1" spans="1:4" ht="30.75" thickBot="1">
      <c r="A1" s="20" t="s">
        <v>0</v>
      </c>
      <c r="B1" s="20" t="s">
        <v>32</v>
      </c>
      <c r="C1" s="1" t="s">
        <v>31</v>
      </c>
      <c r="D1" s="1" t="s">
        <v>34</v>
      </c>
    </row>
    <row r="2" spans="1:4" ht="15">
      <c r="A2" s="2" t="s">
        <v>1</v>
      </c>
      <c r="B2" s="21"/>
      <c r="C2" s="3" t="s">
        <v>2</v>
      </c>
      <c r="D2" s="4"/>
    </row>
    <row r="3" spans="1:4" ht="15">
      <c r="A3" s="5" t="s">
        <v>3</v>
      </c>
      <c r="B3" s="22">
        <v>2137500</v>
      </c>
      <c r="C3" s="6">
        <v>952260</v>
      </c>
      <c r="D3" s="29">
        <f>C3/B3</f>
        <v>0.4455017543859649</v>
      </c>
    </row>
    <row r="4" spans="1:4" ht="15">
      <c r="A4" s="5" t="s">
        <v>4</v>
      </c>
      <c r="B4" s="22">
        <v>12276000</v>
      </c>
      <c r="C4" s="6">
        <v>635872</v>
      </c>
      <c r="D4" s="29">
        <f aca="true" t="shared" si="0" ref="D4:D6">C4/B4</f>
        <v>0.0517979797979798</v>
      </c>
    </row>
    <row r="5" spans="1:4" ht="15">
      <c r="A5" s="5" t="s">
        <v>5</v>
      </c>
      <c r="B5" s="22">
        <v>500000</v>
      </c>
      <c r="C5" s="6">
        <v>291666</v>
      </c>
      <c r="D5" s="29">
        <f t="shared" si="0"/>
        <v>0.583332</v>
      </c>
    </row>
    <row r="6" spans="1:4" ht="15.75" thickBot="1">
      <c r="A6" s="5" t="s">
        <v>6</v>
      </c>
      <c r="B6" s="22">
        <v>200000</v>
      </c>
      <c r="C6" s="6">
        <v>200000</v>
      </c>
      <c r="D6" s="29">
        <f t="shared" si="0"/>
        <v>1</v>
      </c>
    </row>
    <row r="7" spans="1:4" ht="15.75" thickBot="1">
      <c r="A7" s="7" t="s">
        <v>7</v>
      </c>
      <c r="B7" s="25">
        <f>SUM(B3:B6)</f>
        <v>15113500</v>
      </c>
      <c r="C7" s="8">
        <v>2079798</v>
      </c>
      <c r="D7" s="9">
        <f>C7/B7</f>
        <v>0.13761193634829788</v>
      </c>
    </row>
    <row r="8" spans="1:4" ht="15">
      <c r="A8" s="2" t="s">
        <v>8</v>
      </c>
      <c r="B8" s="26"/>
      <c r="C8" s="3" t="s">
        <v>2</v>
      </c>
      <c r="D8" s="4"/>
    </row>
    <row r="9" spans="1:4" ht="28.5">
      <c r="A9" s="10" t="s">
        <v>9</v>
      </c>
      <c r="B9" s="23">
        <v>3750000</v>
      </c>
      <c r="C9" s="11">
        <v>26441</v>
      </c>
      <c r="D9" s="29">
        <f>C9/B9</f>
        <v>0.007050933333333334</v>
      </c>
    </row>
    <row r="10" spans="1:4" ht="15">
      <c r="A10" s="5" t="s">
        <v>10</v>
      </c>
      <c r="B10" s="22">
        <v>6250000</v>
      </c>
      <c r="C10" s="6">
        <v>103260</v>
      </c>
      <c r="D10" s="29">
        <f aca="true" t="shared" si="1" ref="D10:D12">C10/B10</f>
        <v>0.0165216</v>
      </c>
    </row>
    <row r="11" spans="1:4" ht="15">
      <c r="A11" s="5" t="s">
        <v>11</v>
      </c>
      <c r="B11" s="22">
        <v>440000</v>
      </c>
      <c r="C11" s="6">
        <v>449</v>
      </c>
      <c r="D11" s="29">
        <f t="shared" si="1"/>
        <v>0.0010204545454545455</v>
      </c>
    </row>
    <row r="12" spans="1:4" ht="15.75" thickBot="1">
      <c r="A12" s="5" t="s">
        <v>12</v>
      </c>
      <c r="B12" s="22">
        <v>5000000</v>
      </c>
      <c r="C12" s="6">
        <v>389669</v>
      </c>
      <c r="D12" s="29">
        <f t="shared" si="1"/>
        <v>0.0779338</v>
      </c>
    </row>
    <row r="13" spans="1:4" ht="15.75" thickBot="1">
      <c r="A13" s="7" t="s">
        <v>13</v>
      </c>
      <c r="B13" s="25">
        <f>SUM(B9:B12)</f>
        <v>15440000</v>
      </c>
      <c r="C13" s="8">
        <v>519819</v>
      </c>
      <c r="D13" s="9">
        <f>C13/B13</f>
        <v>0.033667033678756474</v>
      </c>
    </row>
    <row r="14" spans="1:4" ht="15">
      <c r="A14" s="2" t="s">
        <v>14</v>
      </c>
      <c r="B14" s="26"/>
      <c r="C14" s="3" t="s">
        <v>2</v>
      </c>
      <c r="D14" s="4"/>
    </row>
    <row r="15" spans="1:4" ht="15">
      <c r="A15" s="10" t="s">
        <v>15</v>
      </c>
      <c r="B15" s="23"/>
      <c r="C15" s="11">
        <v>192628</v>
      </c>
      <c r="D15" s="4"/>
    </row>
    <row r="16" spans="1:4" ht="15.75" thickBot="1">
      <c r="A16" s="5" t="s">
        <v>16</v>
      </c>
      <c r="B16" s="22"/>
      <c r="C16" s="6">
        <v>28033</v>
      </c>
      <c r="D16" s="4"/>
    </row>
    <row r="17" spans="1:4" ht="15.75" thickBot="1">
      <c r="A17" s="7" t="s">
        <v>17</v>
      </c>
      <c r="B17" s="25"/>
      <c r="C17" s="8">
        <v>220661</v>
      </c>
      <c r="D17" s="9">
        <v>0.04</v>
      </c>
    </row>
    <row r="18" spans="1:4" ht="15">
      <c r="A18" s="2" t="s">
        <v>18</v>
      </c>
      <c r="B18" s="26"/>
      <c r="C18" s="3" t="s">
        <v>2</v>
      </c>
      <c r="D18" s="4"/>
    </row>
    <row r="19" spans="1:4" ht="15.75" thickBot="1">
      <c r="A19" s="10" t="s">
        <v>19</v>
      </c>
      <c r="B19" s="23"/>
      <c r="C19" s="11">
        <v>56568</v>
      </c>
      <c r="D19" s="4"/>
    </row>
    <row r="20" spans="1:4" ht="15.75" thickBot="1">
      <c r="A20" s="7" t="s">
        <v>20</v>
      </c>
      <c r="B20" s="25"/>
      <c r="C20" s="8">
        <v>56568</v>
      </c>
      <c r="D20" s="9">
        <v>0.01</v>
      </c>
    </row>
    <row r="21" spans="1:4" ht="15">
      <c r="A21" s="2" t="s">
        <v>21</v>
      </c>
      <c r="B21" s="26"/>
      <c r="C21" s="3" t="s">
        <v>2</v>
      </c>
      <c r="D21" s="4"/>
    </row>
    <row r="22" spans="1:4" ht="15">
      <c r="A22" s="5" t="s">
        <v>22</v>
      </c>
      <c r="B22" s="22"/>
      <c r="C22" s="6">
        <v>586787</v>
      </c>
      <c r="D22" s="4"/>
    </row>
    <row r="23" spans="1:4" ht="15">
      <c r="A23" s="5" t="s">
        <v>23</v>
      </c>
      <c r="B23" s="22"/>
      <c r="C23" s="6">
        <v>250000</v>
      </c>
      <c r="D23" s="4"/>
    </row>
    <row r="24" spans="1:4" ht="15">
      <c r="A24" s="5" t="s">
        <v>24</v>
      </c>
      <c r="B24" s="22"/>
      <c r="C24" s="6">
        <v>400000</v>
      </c>
      <c r="D24" s="4"/>
    </row>
    <row r="25" spans="1:4" ht="15">
      <c r="A25" s="5" t="s">
        <v>25</v>
      </c>
      <c r="B25" s="22"/>
      <c r="C25" s="6">
        <v>68749</v>
      </c>
      <c r="D25" s="4"/>
    </row>
    <row r="26" spans="1:4" ht="15">
      <c r="A26" s="5" t="s">
        <v>26</v>
      </c>
      <c r="B26" s="22"/>
      <c r="C26" s="6">
        <v>197493</v>
      </c>
      <c r="D26" s="4"/>
    </row>
    <row r="27" spans="1:4" ht="15.75" thickBot="1">
      <c r="A27" s="12" t="s">
        <v>27</v>
      </c>
      <c r="B27" s="24"/>
      <c r="C27" s="6">
        <v>124636</v>
      </c>
      <c r="D27" s="4"/>
    </row>
    <row r="28" spans="1:4" ht="15.75" thickBot="1">
      <c r="A28" s="13" t="s">
        <v>28</v>
      </c>
      <c r="B28" s="27"/>
      <c r="C28" s="8">
        <v>1627665</v>
      </c>
      <c r="D28" s="9">
        <v>0.26</v>
      </c>
    </row>
    <row r="29" spans="1:4" ht="15.75" thickBot="1">
      <c r="A29" s="14" t="s">
        <v>29</v>
      </c>
      <c r="B29" s="28"/>
      <c r="C29" s="15">
        <v>1778393</v>
      </c>
      <c r="D29" s="16">
        <v>0.28</v>
      </c>
    </row>
    <row r="30" spans="1:4" ht="15.75" thickBot="1">
      <c r="A30" s="17" t="s">
        <v>30</v>
      </c>
      <c r="B30" s="27"/>
      <c r="C30" s="18">
        <v>6282904</v>
      </c>
      <c r="D30" s="1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79"/>
  <sheetViews>
    <sheetView tabSelected="1" zoomScaleSheetLayoutView="130" workbookViewId="0" topLeftCell="A19">
      <selection activeCell="B19" sqref="B19"/>
    </sheetView>
  </sheetViews>
  <sheetFormatPr defaultColWidth="9.140625" defaultRowHeight="15"/>
  <cols>
    <col min="1" max="1" width="5.8515625" style="124" customWidth="1"/>
    <col min="2" max="2" width="61.421875" style="124" customWidth="1"/>
    <col min="3" max="3" width="15.57421875" style="124" hidden="1" customWidth="1"/>
    <col min="4" max="4" width="15.57421875" style="124" customWidth="1"/>
    <col min="5" max="5" width="15.140625" style="124" customWidth="1"/>
    <col min="6" max="6" width="16.00390625" style="124" hidden="1" customWidth="1"/>
    <col min="7" max="8" width="8.28125" style="124" customWidth="1"/>
    <col min="9" max="9" width="13.28125" style="124" customWidth="1"/>
    <col min="10" max="10" width="13.7109375" style="124" hidden="1" customWidth="1"/>
    <col min="11" max="11" width="14.7109375" style="124" hidden="1" customWidth="1"/>
    <col min="12" max="12" width="9.140625" style="124" hidden="1" customWidth="1"/>
    <col min="13" max="13" width="69.7109375" style="124" hidden="1" customWidth="1"/>
    <col min="14" max="14" width="15.8515625" style="124" bestFit="1" customWidth="1"/>
    <col min="15" max="16384" width="9.140625" style="124" customWidth="1"/>
  </cols>
  <sheetData>
    <row r="1" spans="1:15" s="36" customFormat="1" ht="23.25" customHeight="1" hidden="1">
      <c r="A1" s="17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N1" s="124"/>
      <c r="O1" s="124"/>
    </row>
    <row r="2" spans="1:15" s="36" customFormat="1" ht="15.75" customHeight="1">
      <c r="A2" s="176" t="s">
        <v>36</v>
      </c>
      <c r="B2" s="177"/>
      <c r="C2" s="177" t="s">
        <v>37</v>
      </c>
      <c r="D2" s="177" t="s">
        <v>38</v>
      </c>
      <c r="E2" s="177" t="s">
        <v>123</v>
      </c>
      <c r="F2" s="180" t="s">
        <v>39</v>
      </c>
      <c r="G2" s="173" t="s">
        <v>40</v>
      </c>
      <c r="H2" s="173" t="s">
        <v>122</v>
      </c>
      <c r="I2" s="183" t="s">
        <v>41</v>
      </c>
      <c r="J2" s="183"/>
      <c r="K2" s="184"/>
      <c r="N2" s="124"/>
      <c r="O2" s="124"/>
    </row>
    <row r="3" spans="1:11" s="37" customFormat="1" ht="15">
      <c r="A3" s="178"/>
      <c r="B3" s="179"/>
      <c r="C3" s="179"/>
      <c r="D3" s="179"/>
      <c r="E3" s="179"/>
      <c r="F3" s="181"/>
      <c r="G3" s="174"/>
      <c r="H3" s="174"/>
      <c r="I3" s="185"/>
      <c r="J3" s="185"/>
      <c r="K3" s="186"/>
    </row>
    <row r="4" spans="1:13" s="37" customFormat="1" ht="42" customHeight="1">
      <c r="A4" s="178"/>
      <c r="B4" s="179"/>
      <c r="C4" s="179"/>
      <c r="D4" s="179"/>
      <c r="E4" s="179"/>
      <c r="F4" s="182"/>
      <c r="G4" s="174"/>
      <c r="H4" s="174"/>
      <c r="I4" s="132" t="s">
        <v>42</v>
      </c>
      <c r="J4" s="35" t="s">
        <v>43</v>
      </c>
      <c r="K4" s="133" t="s">
        <v>44</v>
      </c>
      <c r="M4" s="38" t="s">
        <v>45</v>
      </c>
    </row>
    <row r="5" spans="1:11" s="44" customFormat="1" ht="15">
      <c r="A5" s="134" t="s">
        <v>46</v>
      </c>
      <c r="B5" s="39"/>
      <c r="C5" s="40"/>
      <c r="D5" s="41"/>
      <c r="E5" s="42"/>
      <c r="F5" s="42"/>
      <c r="G5" s="39"/>
      <c r="H5" s="39"/>
      <c r="I5" s="43"/>
      <c r="J5" s="43"/>
      <c r="K5" s="135"/>
    </row>
    <row r="6" spans="1:13" s="49" customFormat="1" ht="30" customHeight="1">
      <c r="A6" s="136">
        <v>1.1</v>
      </c>
      <c r="B6" s="45" t="s">
        <v>47</v>
      </c>
      <c r="C6" s="45"/>
      <c r="D6" s="97">
        <v>2137500</v>
      </c>
      <c r="E6" s="98">
        <f>1052304.11+132936</f>
        <v>1185240.11</v>
      </c>
      <c r="F6" s="46">
        <f>71685+22500+38751</f>
        <v>132936</v>
      </c>
      <c r="G6" s="47">
        <f>E6/D6</f>
        <v>0.5544982970760235</v>
      </c>
      <c r="H6" s="47">
        <f>I6/D6</f>
        <v>0.4455017543859649</v>
      </c>
      <c r="I6" s="48">
        <v>952260</v>
      </c>
      <c r="J6" s="87">
        <v>1085195.8900000001</v>
      </c>
      <c r="K6" s="137"/>
      <c r="M6" s="172" t="s">
        <v>48</v>
      </c>
    </row>
    <row r="7" spans="1:14" s="49" customFormat="1" ht="29.25" customHeight="1">
      <c r="A7" s="136">
        <v>1.2</v>
      </c>
      <c r="B7" s="45" t="s">
        <v>49</v>
      </c>
      <c r="C7" s="45"/>
      <c r="D7" s="97">
        <v>12276000</v>
      </c>
      <c r="E7" s="98">
        <f>11639192+936</f>
        <v>11640128</v>
      </c>
      <c r="F7" s="46">
        <v>936</v>
      </c>
      <c r="G7" s="47">
        <f aca="true" t="shared" si="0" ref="G7:G9">E7/D7</f>
        <v>0.9482020202020202</v>
      </c>
      <c r="H7" s="47">
        <f aca="true" t="shared" si="1" ref="H7:H9">I7/D7</f>
        <v>0.0517979797979798</v>
      </c>
      <c r="I7" s="48">
        <v>635872</v>
      </c>
      <c r="J7" s="87">
        <v>636808.0800000019</v>
      </c>
      <c r="K7" s="137"/>
      <c r="M7" s="172"/>
      <c r="N7" s="171" t="s">
        <v>33</v>
      </c>
    </row>
    <row r="8" spans="1:17" s="49" customFormat="1" ht="21" customHeight="1">
      <c r="A8" s="136">
        <v>1.3</v>
      </c>
      <c r="B8" s="50" t="s">
        <v>50</v>
      </c>
      <c r="C8" s="50"/>
      <c r="D8" s="97">
        <v>500000</v>
      </c>
      <c r="E8" s="98">
        <v>208334</v>
      </c>
      <c r="F8" s="46"/>
      <c r="G8" s="47">
        <f t="shared" si="0"/>
        <v>0.416668</v>
      </c>
      <c r="H8" s="47">
        <f t="shared" si="1"/>
        <v>0.583332</v>
      </c>
      <c r="I8" s="48">
        <v>291666</v>
      </c>
      <c r="J8" s="87">
        <v>291666</v>
      </c>
      <c r="K8" s="137"/>
      <c r="M8" s="51" t="s">
        <v>51</v>
      </c>
      <c r="Q8" s="49" t="s">
        <v>33</v>
      </c>
    </row>
    <row r="9" spans="1:15" s="49" customFormat="1" ht="29.25" thickBot="1">
      <c r="A9" s="136">
        <v>1.4</v>
      </c>
      <c r="B9" s="45" t="s">
        <v>52</v>
      </c>
      <c r="C9" s="52"/>
      <c r="D9" s="97">
        <v>200000</v>
      </c>
      <c r="E9" s="98">
        <v>0</v>
      </c>
      <c r="F9" s="46"/>
      <c r="G9" s="47">
        <f t="shared" si="0"/>
        <v>0</v>
      </c>
      <c r="H9" s="47">
        <f t="shared" si="1"/>
        <v>1</v>
      </c>
      <c r="I9" s="48">
        <f aca="true" t="shared" si="2" ref="I9">D9-E9-F9</f>
        <v>200000</v>
      </c>
      <c r="J9" s="87">
        <v>200000</v>
      </c>
      <c r="K9" s="137"/>
      <c r="M9" s="85" t="s">
        <v>53</v>
      </c>
      <c r="O9" s="49" t="s">
        <v>33</v>
      </c>
    </row>
    <row r="10" spans="1:14" s="88" customFormat="1" ht="15.75" thickBot="1">
      <c r="A10" s="84"/>
      <c r="B10" s="89" t="s">
        <v>54</v>
      </c>
      <c r="C10" s="90">
        <v>15113500</v>
      </c>
      <c r="D10" s="90">
        <f>SUM(D6:D9)</f>
        <v>15113500</v>
      </c>
      <c r="E10" s="90">
        <f>SUM(E6:E9)</f>
        <v>13033702.11</v>
      </c>
      <c r="F10" s="90">
        <f>SUM(F6:F9)</f>
        <v>133872</v>
      </c>
      <c r="G10" s="91">
        <f>E10/D10</f>
        <v>0.8623880709299633</v>
      </c>
      <c r="H10" s="92">
        <f>I10/D10</f>
        <v>0.13761193634829788</v>
      </c>
      <c r="I10" s="54">
        <f>SUM(I6:I9)</f>
        <v>2079798</v>
      </c>
      <c r="J10" s="87"/>
      <c r="K10" s="138">
        <f>SUM(I6:I9)</f>
        <v>2079798</v>
      </c>
      <c r="M10" s="48"/>
      <c r="N10" s="48" t="s">
        <v>33</v>
      </c>
    </row>
    <row r="11" spans="1:15" s="44" customFormat="1" ht="15">
      <c r="A11" s="139" t="s">
        <v>55</v>
      </c>
      <c r="B11" s="40"/>
      <c r="C11" s="40"/>
      <c r="D11" s="55"/>
      <c r="E11" s="56"/>
      <c r="F11" s="56"/>
      <c r="G11" s="57"/>
      <c r="H11" s="57"/>
      <c r="I11" s="48"/>
      <c r="J11" s="87"/>
      <c r="K11" s="137"/>
      <c r="O11" s="44" t="s">
        <v>33</v>
      </c>
    </row>
    <row r="12" spans="1:11" s="49" customFormat="1" ht="28.5">
      <c r="A12" s="136">
        <v>2.1</v>
      </c>
      <c r="B12" s="58" t="s">
        <v>56</v>
      </c>
      <c r="C12" s="58"/>
      <c r="D12" s="99">
        <v>3750000</v>
      </c>
      <c r="E12" s="100">
        <f>3675723.54+47835</f>
        <v>3723558.54</v>
      </c>
      <c r="F12" s="56">
        <f>14352+33483</f>
        <v>47835</v>
      </c>
      <c r="G12" s="47">
        <f>E12/D12</f>
        <v>0.992948944</v>
      </c>
      <c r="H12" s="47">
        <f>I12/D12</f>
        <v>0.007050933333333334</v>
      </c>
      <c r="I12" s="48">
        <v>26441</v>
      </c>
      <c r="J12" s="87">
        <v>74276.45999999996</v>
      </c>
      <c r="K12" s="137"/>
    </row>
    <row r="13" spans="1:11" s="49" customFormat="1" ht="15">
      <c r="A13" s="136">
        <v>2.2</v>
      </c>
      <c r="B13" s="58" t="s">
        <v>57</v>
      </c>
      <c r="C13" s="58"/>
      <c r="D13" s="99">
        <v>17338776</v>
      </c>
      <c r="E13" s="100">
        <v>17338777</v>
      </c>
      <c r="F13" s="56"/>
      <c r="G13" s="47">
        <f aca="true" t="shared" si="3" ref="G13:G19">E13/D13</f>
        <v>1.000000057674198</v>
      </c>
      <c r="H13" s="47">
        <f aca="true" t="shared" si="4" ref="H13:H19">I13/D13</f>
        <v>0</v>
      </c>
      <c r="I13" s="48">
        <v>0</v>
      </c>
      <c r="J13" s="87">
        <v>-1</v>
      </c>
      <c r="K13" s="137"/>
    </row>
    <row r="14" spans="1:11" s="49" customFormat="1" ht="15">
      <c r="A14" s="136">
        <v>2.3</v>
      </c>
      <c r="B14" s="58" t="s">
        <v>58</v>
      </c>
      <c r="C14" s="58"/>
      <c r="D14" s="99">
        <v>1000000</v>
      </c>
      <c r="E14" s="100">
        <v>1000000.0900000001</v>
      </c>
      <c r="F14" s="56"/>
      <c r="G14" s="47">
        <f t="shared" si="3"/>
        <v>1.0000000900000001</v>
      </c>
      <c r="H14" s="47">
        <f t="shared" si="4"/>
        <v>0</v>
      </c>
      <c r="I14" s="48">
        <v>0</v>
      </c>
      <c r="J14" s="140">
        <v>-0.09000000008381903</v>
      </c>
      <c r="K14" s="137"/>
    </row>
    <row r="15" spans="1:13" s="49" customFormat="1" ht="22.5" customHeight="1">
      <c r="A15" s="136">
        <v>2.4</v>
      </c>
      <c r="B15" s="58" t="s">
        <v>59</v>
      </c>
      <c r="C15" s="58"/>
      <c r="D15" s="99">
        <v>6250000</v>
      </c>
      <c r="E15" s="100">
        <v>6146740.19</v>
      </c>
      <c r="F15" s="56"/>
      <c r="G15" s="47">
        <f t="shared" si="3"/>
        <v>0.9834784304</v>
      </c>
      <c r="H15" s="47">
        <f t="shared" si="4"/>
        <v>0.016521569599999935</v>
      </c>
      <c r="I15" s="48">
        <f aca="true" t="shared" si="5" ref="I15">D15-E15-F15</f>
        <v>103259.80999999959</v>
      </c>
      <c r="J15" s="87">
        <v>103259.80999999959</v>
      </c>
      <c r="K15" s="137"/>
      <c r="M15" s="51" t="s">
        <v>60</v>
      </c>
    </row>
    <row r="16" spans="1:11" s="49" customFormat="1" ht="28.5">
      <c r="A16" s="136">
        <v>2.5</v>
      </c>
      <c r="B16" s="58" t="s">
        <v>61</v>
      </c>
      <c r="C16" s="58"/>
      <c r="D16" s="99">
        <v>2500000</v>
      </c>
      <c r="E16" s="100">
        <v>2500000.17</v>
      </c>
      <c r="F16" s="56"/>
      <c r="G16" s="47">
        <f t="shared" si="3"/>
        <v>1.000000068</v>
      </c>
      <c r="H16" s="47">
        <f t="shared" si="4"/>
        <v>0</v>
      </c>
      <c r="I16" s="48">
        <v>0</v>
      </c>
      <c r="J16" s="87">
        <v>-0.1699999999254942</v>
      </c>
      <c r="K16" s="137"/>
    </row>
    <row r="17" spans="1:11" s="49" customFormat="1" ht="28.5">
      <c r="A17" s="136">
        <v>2.6</v>
      </c>
      <c r="B17" s="58" t="s">
        <v>62</v>
      </c>
      <c r="C17" s="58"/>
      <c r="D17" s="99">
        <v>440000</v>
      </c>
      <c r="E17" s="100">
        <f>437259.79+2291</f>
        <v>439550.79</v>
      </c>
      <c r="F17" s="56">
        <v>2291</v>
      </c>
      <c r="G17" s="47">
        <f t="shared" si="3"/>
        <v>0.9989790681818181</v>
      </c>
      <c r="H17" s="47">
        <f t="shared" si="4"/>
        <v>0.0010204545454545455</v>
      </c>
      <c r="I17" s="48">
        <v>449</v>
      </c>
      <c r="J17" s="87">
        <v>2740.2099999999627</v>
      </c>
      <c r="K17" s="137"/>
    </row>
    <row r="18" spans="1:13" s="49" customFormat="1" ht="15">
      <c r="A18" s="136">
        <v>2.7</v>
      </c>
      <c r="B18" s="58" t="s">
        <v>63</v>
      </c>
      <c r="C18" s="58"/>
      <c r="D18" s="99">
        <v>5000000</v>
      </c>
      <c r="E18" s="100">
        <f>4127837+482493</f>
        <v>4610330</v>
      </c>
      <c r="F18" s="56">
        <f>127236+243438+111819</f>
        <v>482493</v>
      </c>
      <c r="G18" s="47">
        <f t="shared" si="3"/>
        <v>0.922066</v>
      </c>
      <c r="H18" s="47">
        <f t="shared" si="4"/>
        <v>0.077934</v>
      </c>
      <c r="I18" s="48">
        <f>D18-E18</f>
        <v>389670</v>
      </c>
      <c r="J18" s="87">
        <v>872163.1299999999</v>
      </c>
      <c r="K18" s="137"/>
      <c r="M18" s="51" t="s">
        <v>64</v>
      </c>
    </row>
    <row r="19" spans="1:11" s="49" customFormat="1" ht="29.25" thickBot="1">
      <c r="A19" s="136">
        <v>2.8</v>
      </c>
      <c r="B19" s="58" t="s">
        <v>65</v>
      </c>
      <c r="C19" s="59"/>
      <c r="D19" s="99">
        <v>4550000</v>
      </c>
      <c r="E19" s="100">
        <v>4549999.75</v>
      </c>
      <c r="F19" s="60">
        <f>22590+5389+3658+1046+28947+8166+2023+40000-111819</f>
        <v>0</v>
      </c>
      <c r="G19" s="47">
        <f t="shared" si="3"/>
        <v>0.999999945054945</v>
      </c>
      <c r="H19" s="47">
        <f t="shared" si="4"/>
        <v>0</v>
      </c>
      <c r="I19" s="48">
        <v>0</v>
      </c>
      <c r="J19" s="87">
        <v>0.25</v>
      </c>
      <c r="K19" s="137"/>
    </row>
    <row r="20" spans="1:13" s="88" customFormat="1" ht="15.75" thickBot="1">
      <c r="A20" s="84"/>
      <c r="B20" s="89" t="s">
        <v>66</v>
      </c>
      <c r="C20" s="93">
        <v>40828776</v>
      </c>
      <c r="D20" s="94">
        <f>SUM(D12:D19)</f>
        <v>40828776</v>
      </c>
      <c r="E20" s="94">
        <f>SUM(E12:E19)</f>
        <v>40308956.53</v>
      </c>
      <c r="F20" s="94">
        <f>SUM(F12:F19)</f>
        <v>532619</v>
      </c>
      <c r="G20" s="92">
        <f>E20/D20</f>
        <v>0.9872683063043576</v>
      </c>
      <c r="H20" s="92">
        <f>I20/D20</f>
        <v>0.01273170202310252</v>
      </c>
      <c r="I20" s="54">
        <f>SUM(I12:I19)</f>
        <v>519819.8099999996</v>
      </c>
      <c r="J20" s="87"/>
      <c r="K20" s="138">
        <f>SUM(I12:I19)</f>
        <v>519819.8099999996</v>
      </c>
      <c r="M20" s="48"/>
    </row>
    <row r="21" spans="1:11" s="44" customFormat="1" ht="15">
      <c r="A21" s="139" t="s">
        <v>67</v>
      </c>
      <c r="B21" s="40"/>
      <c r="C21" s="40"/>
      <c r="D21" s="55"/>
      <c r="E21" s="56"/>
      <c r="F21" s="56"/>
      <c r="G21" s="57"/>
      <c r="H21" s="57"/>
      <c r="I21" s="48"/>
      <c r="J21" s="87"/>
      <c r="K21" s="137"/>
    </row>
    <row r="22" spans="1:11" s="49" customFormat="1" ht="28.5">
      <c r="A22" s="136">
        <v>3.1</v>
      </c>
      <c r="B22" s="58" t="s">
        <v>68</v>
      </c>
      <c r="C22" s="58"/>
      <c r="D22" s="99">
        <v>6300000</v>
      </c>
      <c r="E22" s="100">
        <v>6299999.98</v>
      </c>
      <c r="F22" s="56"/>
      <c r="G22" s="47">
        <f>E22/D22</f>
        <v>0.9999999968253969</v>
      </c>
      <c r="H22" s="47">
        <f>I22/D22</f>
        <v>0</v>
      </c>
      <c r="I22" s="48">
        <v>0</v>
      </c>
      <c r="J22" s="87">
        <v>0.019999999552965164</v>
      </c>
      <c r="K22" s="137"/>
    </row>
    <row r="23" spans="1:11" s="49" customFormat="1" ht="28.5">
      <c r="A23" s="136">
        <v>3.2</v>
      </c>
      <c r="B23" s="58" t="s">
        <v>69</v>
      </c>
      <c r="C23" s="58"/>
      <c r="D23" s="99">
        <v>375000</v>
      </c>
      <c r="E23" s="100">
        <v>375000</v>
      </c>
      <c r="F23" s="56">
        <f>32372-32372</f>
        <v>0</v>
      </c>
      <c r="G23" s="47">
        <f>E23/D23</f>
        <v>1</v>
      </c>
      <c r="H23" s="47">
        <f aca="true" t="shared" si="6" ref="H23:H25">I23/D23</f>
        <v>0</v>
      </c>
      <c r="I23" s="48">
        <v>0</v>
      </c>
      <c r="J23" s="87">
        <v>0</v>
      </c>
      <c r="K23" s="137"/>
    </row>
    <row r="24" spans="1:13" s="49" customFormat="1" ht="15.75" customHeight="1">
      <c r="A24" s="136">
        <v>3.3</v>
      </c>
      <c r="B24" s="58" t="s">
        <v>70</v>
      </c>
      <c r="C24" s="58"/>
      <c r="D24" s="99">
        <v>1250000</v>
      </c>
      <c r="E24" s="100">
        <f>825000+232372</f>
        <v>1057372</v>
      </c>
      <c r="F24" s="56">
        <f>200000+32372</f>
        <v>232372</v>
      </c>
      <c r="G24" s="47">
        <f aca="true" t="shared" si="7" ref="G24:G25">E24/D24</f>
        <v>0.8458976</v>
      </c>
      <c r="H24" s="47">
        <f t="shared" si="6"/>
        <v>0.1541024</v>
      </c>
      <c r="I24" s="48">
        <f>D24-E24</f>
        <v>192628</v>
      </c>
      <c r="J24" s="87">
        <v>425000</v>
      </c>
      <c r="K24" s="137"/>
      <c r="M24" s="51" t="s">
        <v>71</v>
      </c>
    </row>
    <row r="25" spans="1:13" s="49" customFormat="1" ht="29.25" thickBot="1">
      <c r="A25" s="136">
        <v>3.4</v>
      </c>
      <c r="B25" s="58" t="s">
        <v>72</v>
      </c>
      <c r="C25" s="59"/>
      <c r="D25" s="99">
        <v>896000</v>
      </c>
      <c r="E25" s="100">
        <v>867967</v>
      </c>
      <c r="F25" s="56"/>
      <c r="G25" s="47">
        <f t="shared" si="7"/>
        <v>0.9687131696428571</v>
      </c>
      <c r="H25" s="47">
        <f t="shared" si="6"/>
        <v>0.03128683035714286</v>
      </c>
      <c r="I25" s="48">
        <f aca="true" t="shared" si="8" ref="I25">D25-E25-F25</f>
        <v>28033</v>
      </c>
      <c r="J25" s="87">
        <v>28033</v>
      </c>
      <c r="K25" s="137"/>
      <c r="M25" s="85" t="s">
        <v>73</v>
      </c>
    </row>
    <row r="26" spans="1:14" s="88" customFormat="1" ht="15.75" thickBot="1">
      <c r="A26" s="84"/>
      <c r="B26" s="89" t="s">
        <v>74</v>
      </c>
      <c r="C26" s="93">
        <v>8821000</v>
      </c>
      <c r="D26" s="90">
        <f>SUM(D22:D25)</f>
        <v>8821000</v>
      </c>
      <c r="E26" s="90">
        <f>SUM(E22:E25)</f>
        <v>8600338.98</v>
      </c>
      <c r="F26" s="90">
        <f>SUM(F22:F25)</f>
        <v>232372</v>
      </c>
      <c r="G26" s="92">
        <f>E26/D26</f>
        <v>0.9749845799795942</v>
      </c>
      <c r="H26" s="92">
        <f>I26/D26</f>
        <v>0.025015417753089218</v>
      </c>
      <c r="I26" s="54">
        <f>SUM(I21:I25)</f>
        <v>220661</v>
      </c>
      <c r="J26" s="87"/>
      <c r="K26" s="138">
        <f>SUM(I22:I25)</f>
        <v>220661</v>
      </c>
      <c r="M26" s="48"/>
      <c r="N26" s="104" t="s">
        <v>33</v>
      </c>
    </row>
    <row r="27" spans="1:14" s="44" customFormat="1" ht="15">
      <c r="A27" s="139" t="s">
        <v>75</v>
      </c>
      <c r="B27" s="40"/>
      <c r="C27" s="40"/>
      <c r="D27" s="55"/>
      <c r="E27" s="56"/>
      <c r="F27" s="56"/>
      <c r="G27" s="57"/>
      <c r="H27" s="57"/>
      <c r="I27" s="48"/>
      <c r="J27" s="87"/>
      <c r="K27" s="137"/>
      <c r="N27" s="44" t="s">
        <v>33</v>
      </c>
    </row>
    <row r="28" spans="1:11" s="49" customFormat="1" ht="28.5">
      <c r="A28" s="136">
        <v>4.1</v>
      </c>
      <c r="B28" s="58" t="s">
        <v>76</v>
      </c>
      <c r="C28" s="58"/>
      <c r="D28" s="99">
        <v>2579449</v>
      </c>
      <c r="E28" s="100">
        <v>2579450.5</v>
      </c>
      <c r="F28" s="56"/>
      <c r="G28" s="47">
        <f>E28/D28</f>
        <v>1.0000005815195416</v>
      </c>
      <c r="H28" s="47">
        <f>I28/D28</f>
        <v>0</v>
      </c>
      <c r="I28" s="48">
        <v>0</v>
      </c>
      <c r="J28" s="87">
        <v>-1.5</v>
      </c>
      <c r="K28" s="137"/>
    </row>
    <row r="29" spans="1:11" s="49" customFormat="1" ht="15">
      <c r="A29" s="136">
        <v>4.2</v>
      </c>
      <c r="B29" s="61" t="s">
        <v>77</v>
      </c>
      <c r="C29" s="61"/>
      <c r="D29" s="99">
        <v>2461638</v>
      </c>
      <c r="E29" s="100">
        <v>2461637.9</v>
      </c>
      <c r="F29" s="56"/>
      <c r="G29" s="47">
        <f aca="true" t="shared" si="9" ref="G29:G30">E29/D29</f>
        <v>0.9999999593766427</v>
      </c>
      <c r="H29" s="47">
        <f aca="true" t="shared" si="10" ref="H29:H30">I29/D29</f>
        <v>0</v>
      </c>
      <c r="I29" s="48">
        <v>0</v>
      </c>
      <c r="J29" s="87">
        <v>0.10000000009313226</v>
      </c>
      <c r="K29" s="137"/>
    </row>
    <row r="30" spans="1:11" s="49" customFormat="1" ht="15">
      <c r="A30" s="136">
        <v>4.3</v>
      </c>
      <c r="B30" s="61" t="s">
        <v>78</v>
      </c>
      <c r="C30" s="61"/>
      <c r="D30" s="99">
        <v>2396413</v>
      </c>
      <c r="E30" s="100">
        <v>2396421.98</v>
      </c>
      <c r="F30" s="56"/>
      <c r="G30" s="47">
        <f t="shared" si="9"/>
        <v>1.0000037472672698</v>
      </c>
      <c r="H30" s="47">
        <f t="shared" si="10"/>
        <v>0</v>
      </c>
      <c r="I30" s="48">
        <v>0</v>
      </c>
      <c r="J30" s="87">
        <v>-8.979999999981374</v>
      </c>
      <c r="K30" s="137"/>
    </row>
    <row r="31" spans="1:11" s="49" customFormat="1" ht="28.5">
      <c r="A31" s="136">
        <v>4.4</v>
      </c>
      <c r="B31" s="58" t="s">
        <v>79</v>
      </c>
      <c r="C31" s="58"/>
      <c r="D31" s="99">
        <v>1120000</v>
      </c>
      <c r="E31" s="100">
        <f>1117295.05+2705</f>
        <v>1120000.05</v>
      </c>
      <c r="F31" s="56">
        <f>9791-7086</f>
        <v>2705</v>
      </c>
      <c r="G31" s="47">
        <f>E31/D31</f>
        <v>1.0000000446428572</v>
      </c>
      <c r="H31" s="47">
        <f>I31/D31</f>
        <v>0</v>
      </c>
      <c r="I31" s="48">
        <v>0</v>
      </c>
      <c r="J31" s="87">
        <v>2704.9499999999534</v>
      </c>
      <c r="K31" s="137"/>
    </row>
    <row r="32" spans="1:11" s="49" customFormat="1" ht="28.5">
      <c r="A32" s="136">
        <v>4.5</v>
      </c>
      <c r="B32" s="58" t="s">
        <v>80</v>
      </c>
      <c r="C32" s="58"/>
      <c r="D32" s="99">
        <v>600000</v>
      </c>
      <c r="E32" s="100">
        <v>600000</v>
      </c>
      <c r="F32" s="56">
        <f>27369+17872-45241</f>
        <v>0</v>
      </c>
      <c r="G32" s="47">
        <f aca="true" t="shared" si="11" ref="G32:G33">E32/D32</f>
        <v>1</v>
      </c>
      <c r="H32" s="47">
        <f aca="true" t="shared" si="12" ref="H32:H33">I32/D32</f>
        <v>0</v>
      </c>
      <c r="I32" s="48">
        <v>0</v>
      </c>
      <c r="J32" s="87">
        <v>0</v>
      </c>
      <c r="K32" s="137"/>
    </row>
    <row r="33" spans="1:11" s="49" customFormat="1" ht="29.25" thickBot="1">
      <c r="A33" s="136">
        <v>4.6</v>
      </c>
      <c r="B33" s="58" t="s">
        <v>81</v>
      </c>
      <c r="C33" s="59"/>
      <c r="D33" s="99">
        <v>1160545</v>
      </c>
      <c r="E33" s="100">
        <f>1051640+52327</f>
        <v>1103967</v>
      </c>
      <c r="F33" s="56">
        <f>7086+45241</f>
        <v>52327</v>
      </c>
      <c r="G33" s="47">
        <f t="shared" si="11"/>
        <v>0.9512487667432111</v>
      </c>
      <c r="H33" s="47">
        <f t="shared" si="12"/>
        <v>0.04875123325678884</v>
      </c>
      <c r="I33" s="48">
        <f>D33-E33</f>
        <v>56578</v>
      </c>
      <c r="J33" s="87">
        <v>108905.3500000001</v>
      </c>
      <c r="K33" s="137"/>
    </row>
    <row r="34" spans="1:13" s="88" customFormat="1" ht="15.75" thickBot="1">
      <c r="A34" s="84"/>
      <c r="B34" s="89" t="s">
        <v>82</v>
      </c>
      <c r="C34" s="95">
        <v>10318045</v>
      </c>
      <c r="D34" s="90">
        <f>SUM(D28:D33)</f>
        <v>10318045</v>
      </c>
      <c r="E34" s="90">
        <f>SUM(E28:E33)</f>
        <v>10261477.430000002</v>
      </c>
      <c r="F34" s="90">
        <f>SUM(F28:F33)</f>
        <v>55032</v>
      </c>
      <c r="G34" s="92">
        <f>SUM(E34:F34)/D34</f>
        <v>0.999851176264496</v>
      </c>
      <c r="H34" s="92">
        <f>I34/D34</f>
        <v>0.0054834031059178365</v>
      </c>
      <c r="I34" s="54">
        <f>SUM(I31:I33)</f>
        <v>56578</v>
      </c>
      <c r="J34" s="87"/>
      <c r="K34" s="138">
        <f>SUM(I28:I33)</f>
        <v>56578</v>
      </c>
      <c r="M34" s="48"/>
    </row>
    <row r="35" spans="1:11" s="44" customFormat="1" ht="15">
      <c r="A35" s="139" t="s">
        <v>83</v>
      </c>
      <c r="B35" s="40"/>
      <c r="C35" s="40"/>
      <c r="D35" s="55"/>
      <c r="E35" s="56"/>
      <c r="F35" s="56"/>
      <c r="G35" s="57"/>
      <c r="H35" s="57"/>
      <c r="I35" s="48"/>
      <c r="J35" s="87"/>
      <c r="K35" s="137"/>
    </row>
    <row r="36" spans="1:13" s="49" customFormat="1" ht="28.5">
      <c r="A36" s="136">
        <v>5.1</v>
      </c>
      <c r="B36" s="58" t="s">
        <v>22</v>
      </c>
      <c r="C36" s="58"/>
      <c r="D36" s="99">
        <v>1849000</v>
      </c>
      <c r="E36" s="100">
        <f>1257168.61375+5044</f>
        <v>1262212.61375</v>
      </c>
      <c r="F36" s="56">
        <v>5044</v>
      </c>
      <c r="G36" s="47">
        <f>E36/D36</f>
        <v>0.682646086398053</v>
      </c>
      <c r="H36" s="47">
        <f>I36/D36</f>
        <v>0.317353913601947</v>
      </c>
      <c r="I36" s="48">
        <f>D36-E36</f>
        <v>586787.38625</v>
      </c>
      <c r="J36" s="87">
        <v>591831.38625</v>
      </c>
      <c r="K36" s="137"/>
      <c r="M36" s="51" t="s">
        <v>84</v>
      </c>
    </row>
    <row r="37" spans="1:13" s="49" customFormat="1" ht="28.5">
      <c r="A37" s="136">
        <v>5.2</v>
      </c>
      <c r="B37" s="58" t="s">
        <v>85</v>
      </c>
      <c r="C37" s="58"/>
      <c r="D37" s="99">
        <v>250000</v>
      </c>
      <c r="E37" s="100">
        <v>0</v>
      </c>
      <c r="F37" s="56"/>
      <c r="G37" s="47">
        <f aca="true" t="shared" si="13" ref="G37:G44">E37/D37</f>
        <v>0</v>
      </c>
      <c r="H37" s="47">
        <f aca="true" t="shared" si="14" ref="H37:H43">I37/D37</f>
        <v>1</v>
      </c>
      <c r="I37" s="48">
        <f aca="true" t="shared" si="15" ref="I37:I44">D37-E37</f>
        <v>250000</v>
      </c>
      <c r="J37" s="87">
        <v>250000</v>
      </c>
      <c r="K37" s="137"/>
      <c r="M37" s="51" t="s">
        <v>86</v>
      </c>
    </row>
    <row r="38" spans="1:11" s="49" customFormat="1" ht="28.5">
      <c r="A38" s="136">
        <v>5.3</v>
      </c>
      <c r="B38" s="58" t="s">
        <v>87</v>
      </c>
      <c r="C38" s="58"/>
      <c r="D38" s="99">
        <v>120000</v>
      </c>
      <c r="E38" s="100">
        <v>120000</v>
      </c>
      <c r="F38" s="56"/>
      <c r="G38" s="47">
        <f t="shared" si="13"/>
        <v>1</v>
      </c>
      <c r="H38" s="47">
        <f t="shared" si="14"/>
        <v>0</v>
      </c>
      <c r="I38" s="48">
        <f t="shared" si="15"/>
        <v>0</v>
      </c>
      <c r="J38" s="87">
        <v>0</v>
      </c>
      <c r="K38" s="137"/>
    </row>
    <row r="39" spans="1:13" s="49" customFormat="1" ht="15">
      <c r="A39" s="136">
        <v>5.4</v>
      </c>
      <c r="B39" s="58" t="s">
        <v>88</v>
      </c>
      <c r="C39" s="58"/>
      <c r="D39" s="99">
        <v>400000</v>
      </c>
      <c r="E39" s="100">
        <v>0</v>
      </c>
      <c r="F39" s="56"/>
      <c r="G39" s="47">
        <f t="shared" si="13"/>
        <v>0</v>
      </c>
      <c r="H39" s="47">
        <f t="shared" si="14"/>
        <v>1</v>
      </c>
      <c r="I39" s="48">
        <f t="shared" si="15"/>
        <v>400000</v>
      </c>
      <c r="J39" s="87">
        <v>400000</v>
      </c>
      <c r="K39" s="137"/>
      <c r="M39" s="51" t="s">
        <v>89</v>
      </c>
    </row>
    <row r="40" spans="1:13" s="49" customFormat="1" ht="28.5">
      <c r="A40" s="136">
        <v>5.5</v>
      </c>
      <c r="B40" s="58" t="s">
        <v>90</v>
      </c>
      <c r="C40" s="58"/>
      <c r="D40" s="99">
        <v>1125000</v>
      </c>
      <c r="E40" s="100">
        <f>1115800.97+9199</f>
        <v>1124999.97</v>
      </c>
      <c r="F40" s="56">
        <f>14243-5044</f>
        <v>9199</v>
      </c>
      <c r="G40" s="47">
        <f t="shared" si="13"/>
        <v>0.9999999733333333</v>
      </c>
      <c r="H40" s="47">
        <f t="shared" si="14"/>
        <v>2.6666666691501935E-08</v>
      </c>
      <c r="I40" s="48">
        <f t="shared" si="15"/>
        <v>0.030000000027939677</v>
      </c>
      <c r="J40" s="140">
        <v>9199.030000000028</v>
      </c>
      <c r="K40" s="137"/>
      <c r="M40" s="62"/>
    </row>
    <row r="41" spans="1:11" s="49" customFormat="1" ht="28.5">
      <c r="A41" s="136">
        <v>5.6</v>
      </c>
      <c r="B41" s="58" t="s">
        <v>91</v>
      </c>
      <c r="C41" s="58"/>
      <c r="D41" s="99">
        <v>350000</v>
      </c>
      <c r="E41" s="100">
        <v>350000</v>
      </c>
      <c r="F41" s="56"/>
      <c r="G41" s="47">
        <f t="shared" si="13"/>
        <v>1</v>
      </c>
      <c r="H41" s="47">
        <f t="shared" si="14"/>
        <v>0</v>
      </c>
      <c r="I41" s="48">
        <f t="shared" si="15"/>
        <v>0</v>
      </c>
      <c r="J41" s="87">
        <v>0</v>
      </c>
      <c r="K41" s="137"/>
    </row>
    <row r="42" spans="1:13" s="49" customFormat="1" ht="28.5">
      <c r="A42" s="136">
        <v>5.7</v>
      </c>
      <c r="B42" s="58" t="s">
        <v>92</v>
      </c>
      <c r="C42" s="58"/>
      <c r="D42" s="99">
        <v>150000</v>
      </c>
      <c r="E42" s="100">
        <v>81251.22</v>
      </c>
      <c r="F42" s="56"/>
      <c r="G42" s="47">
        <f t="shared" si="13"/>
        <v>0.5416748</v>
      </c>
      <c r="H42" s="47">
        <f t="shared" si="14"/>
        <v>0.4583252</v>
      </c>
      <c r="I42" s="48">
        <f t="shared" si="15"/>
        <v>68748.78</v>
      </c>
      <c r="J42" s="87">
        <v>68748.78</v>
      </c>
      <c r="K42" s="137"/>
      <c r="M42" s="51" t="s">
        <v>93</v>
      </c>
    </row>
    <row r="43" spans="1:13" s="49" customFormat="1" ht="28.5">
      <c r="A43" s="136">
        <v>5.8</v>
      </c>
      <c r="B43" s="58" t="s">
        <v>94</v>
      </c>
      <c r="C43" s="58"/>
      <c r="D43" s="99">
        <v>581000</v>
      </c>
      <c r="E43" s="100">
        <v>383506.86</v>
      </c>
      <c r="F43" s="56"/>
      <c r="G43" s="47">
        <f t="shared" si="13"/>
        <v>0.6600806540447504</v>
      </c>
      <c r="H43" s="47">
        <f t="shared" si="14"/>
        <v>0.3399193459552496</v>
      </c>
      <c r="I43" s="48">
        <f t="shared" si="15"/>
        <v>197493.14</v>
      </c>
      <c r="J43" s="87">
        <v>197493.14</v>
      </c>
      <c r="K43" s="137"/>
      <c r="M43" s="51" t="s">
        <v>95</v>
      </c>
    </row>
    <row r="44" spans="1:13" s="49" customFormat="1" ht="15" thickBot="1">
      <c r="A44" s="136">
        <v>5.9</v>
      </c>
      <c r="B44" s="58" t="s">
        <v>96</v>
      </c>
      <c r="C44" s="59"/>
      <c r="D44" s="99">
        <v>750000</v>
      </c>
      <c r="E44" s="100">
        <v>625364.275</v>
      </c>
      <c r="F44" s="56"/>
      <c r="G44" s="47">
        <f t="shared" si="13"/>
        <v>0.8338190333333334</v>
      </c>
      <c r="H44" s="47">
        <f>I44/D44</f>
        <v>0.16618096666666662</v>
      </c>
      <c r="I44" s="48">
        <f t="shared" si="15"/>
        <v>124635.72499999998</v>
      </c>
      <c r="J44" s="87">
        <v>124635.72499999998</v>
      </c>
      <c r="K44" s="137"/>
      <c r="M44" s="85" t="s">
        <v>97</v>
      </c>
    </row>
    <row r="45" spans="1:13" s="88" customFormat="1" ht="15.75" thickBot="1">
      <c r="A45" s="84"/>
      <c r="B45" s="89" t="s">
        <v>98</v>
      </c>
      <c r="C45" s="96">
        <v>5575000</v>
      </c>
      <c r="D45" s="90">
        <f>SUM(D36:D44)</f>
        <v>5575000</v>
      </c>
      <c r="E45" s="90">
        <f>SUM(E36:E44)</f>
        <v>3947334.93875</v>
      </c>
      <c r="F45" s="90">
        <f>SUM(F36:F44)</f>
        <v>14243</v>
      </c>
      <c r="G45" s="92">
        <f>E45/D45</f>
        <v>0.7080421414798207</v>
      </c>
      <c r="H45" s="92">
        <f>I45/D45</f>
        <v>0.2919578585201794</v>
      </c>
      <c r="I45" s="54">
        <f>SUM(I35:I44)</f>
        <v>1627665.0612500003</v>
      </c>
      <c r="J45" s="87"/>
      <c r="K45" s="138">
        <f>SUM(I36:I44)</f>
        <v>1627665.0612500003</v>
      </c>
      <c r="M45" s="48"/>
    </row>
    <row r="46" spans="1:12" s="44" customFormat="1" ht="19.5" customHeight="1" hidden="1">
      <c r="A46" s="141"/>
      <c r="B46" s="63" t="s">
        <v>99</v>
      </c>
      <c r="C46" s="63">
        <f>SUM(C45,C34,C26,C20,C10)</f>
        <v>80656321</v>
      </c>
      <c r="D46" s="64">
        <f>SUM(D45,D34,D26,D20,D10)</f>
        <v>80656321</v>
      </c>
      <c r="E46" s="65">
        <f>SUM(E45,E34,E26,E20,E10)</f>
        <v>76151809.98875001</v>
      </c>
      <c r="F46" s="65">
        <f>SUM(F36:F44,F28:F33,F22:F25,F12:F19,F6:F9)</f>
        <v>968138</v>
      </c>
      <c r="G46" s="66">
        <f>SUM(E46:F46)/D46</f>
        <v>0.956155041943334</v>
      </c>
      <c r="H46" s="66"/>
      <c r="I46" s="67"/>
      <c r="J46" s="142">
        <v>4504511.571250007</v>
      </c>
      <c r="K46" s="143">
        <f>K10+K20+K26+K34+K45</f>
        <v>4504521.87125</v>
      </c>
      <c r="L46" s="44">
        <v>4504511.571250001</v>
      </c>
    </row>
    <row r="47" spans="1:11" s="44" customFormat="1" ht="15" hidden="1">
      <c r="A47" s="141"/>
      <c r="B47" s="68" t="s">
        <v>100</v>
      </c>
      <c r="C47" s="69"/>
      <c r="D47" s="70"/>
      <c r="E47" s="71">
        <f>SUM(F36:F44,F28:F33,F22:F25,F12:F19,F6:F9)</f>
        <v>968138</v>
      </c>
      <c r="F47" s="72"/>
      <c r="G47" s="73"/>
      <c r="H47" s="73"/>
      <c r="I47" s="48"/>
      <c r="J47" s="87"/>
      <c r="K47" s="135"/>
    </row>
    <row r="48" spans="1:13" s="44" customFormat="1" ht="15" hidden="1">
      <c r="A48" s="141"/>
      <c r="B48" s="68" t="s">
        <v>101</v>
      </c>
      <c r="C48" s="68">
        <f>SUM(C46:C47)</f>
        <v>80656321</v>
      </c>
      <c r="D48" s="74">
        <f>SUM(D46)</f>
        <v>80656321</v>
      </c>
      <c r="E48" s="75">
        <f>SUM(E46:E47)</f>
        <v>77119947.98875001</v>
      </c>
      <c r="F48" s="76"/>
      <c r="G48" s="73"/>
      <c r="H48" s="73"/>
      <c r="I48" s="48"/>
      <c r="J48" s="87"/>
      <c r="K48" s="138"/>
      <c r="M48" s="77"/>
    </row>
    <row r="49" spans="1:14" s="44" customFormat="1" ht="15">
      <c r="A49" s="141"/>
      <c r="B49" s="78" t="s">
        <v>102</v>
      </c>
      <c r="C49" s="78"/>
      <c r="D49" s="79"/>
      <c r="E49" s="80">
        <f>E48/D48</f>
        <v>0.956155041943334</v>
      </c>
      <c r="F49" s="81"/>
      <c r="G49" s="82"/>
      <c r="H49" s="82"/>
      <c r="I49" s="83" t="s">
        <v>33</v>
      </c>
      <c r="J49" s="144"/>
      <c r="K49" s="138"/>
      <c r="N49" s="43"/>
    </row>
    <row r="50" spans="1:13" s="88" customFormat="1" ht="12" customHeight="1">
      <c r="A50" s="145"/>
      <c r="B50" s="102" t="s">
        <v>121</v>
      </c>
      <c r="C50" s="55">
        <v>4088250</v>
      </c>
      <c r="D50" s="103">
        <f>2993899+2021547</f>
        <v>5015446</v>
      </c>
      <c r="E50" s="98">
        <f>2353342.61407051+2017032</f>
        <v>4370374.6140705105</v>
      </c>
      <c r="F50" s="101"/>
      <c r="G50" s="47">
        <f>E50/D50</f>
        <v>0.8713830463074491</v>
      </c>
      <c r="H50" s="47">
        <f>I50/D50</f>
        <v>0.12861695369255088</v>
      </c>
      <c r="I50" s="48">
        <f aca="true" t="shared" si="16" ref="I50:I51">D50-E50-F50</f>
        <v>645071.3859294895</v>
      </c>
      <c r="J50" s="87">
        <v>640556.3859294872</v>
      </c>
      <c r="K50" s="137"/>
      <c r="M50" s="51" t="s">
        <v>103</v>
      </c>
    </row>
    <row r="51" spans="1:13" s="88" customFormat="1" ht="13.5" customHeight="1" thickBot="1">
      <c r="A51" s="145"/>
      <c r="B51" s="102" t="s">
        <v>124</v>
      </c>
      <c r="C51" s="125">
        <v>1717409</v>
      </c>
      <c r="D51" s="103">
        <f>1717408+1</f>
        <v>1717409</v>
      </c>
      <c r="E51" s="98">
        <v>584087</v>
      </c>
      <c r="F51" s="101"/>
      <c r="G51" s="47">
        <f>E51/D51</f>
        <v>0.34009778684052544</v>
      </c>
      <c r="H51" s="47">
        <f>I51/D51</f>
        <v>0.6599022131594745</v>
      </c>
      <c r="I51" s="48">
        <f t="shared" si="16"/>
        <v>1133322</v>
      </c>
      <c r="J51" s="87">
        <v>1133321</v>
      </c>
      <c r="K51" s="146"/>
      <c r="M51" s="51" t="s">
        <v>104</v>
      </c>
    </row>
    <row r="52" spans="1:12" s="43" customFormat="1" ht="15.75" thickBot="1">
      <c r="A52" s="126"/>
      <c r="B52" s="127" t="s">
        <v>105</v>
      </c>
      <c r="C52" s="128">
        <f>SUM(C50:C51)</f>
        <v>5805659</v>
      </c>
      <c r="D52" s="129">
        <f>SUM(D50:D51)</f>
        <v>6732855</v>
      </c>
      <c r="E52" s="129">
        <f>SUM(E50:E51)</f>
        <v>4954461.6140705105</v>
      </c>
      <c r="F52" s="130"/>
      <c r="G52" s="92">
        <v>0.736</v>
      </c>
      <c r="H52" s="53">
        <f>I52/D52</f>
        <v>0.26413659375250015</v>
      </c>
      <c r="I52" s="131">
        <f>SUM(I50:I51)</f>
        <v>1778393.3859294895</v>
      </c>
      <c r="J52" s="87">
        <v>1778392.6618269235</v>
      </c>
      <c r="K52" s="147">
        <f>SUM(I50:I51)</f>
        <v>1778393.3859294895</v>
      </c>
      <c r="L52" s="43">
        <v>1778392.661826923</v>
      </c>
    </row>
    <row r="53" spans="1:11" s="43" customFormat="1" ht="15" hidden="1">
      <c r="A53" s="141"/>
      <c r="B53" s="78" t="s">
        <v>106</v>
      </c>
      <c r="C53" s="34"/>
      <c r="D53" s="106"/>
      <c r="E53" s="107">
        <f>E52/D52</f>
        <v>0.7358634062474998</v>
      </c>
      <c r="F53" s="108"/>
      <c r="G53" s="105"/>
      <c r="H53" s="105"/>
      <c r="I53" s="105"/>
      <c r="J53" s="87"/>
      <c r="K53" s="138"/>
    </row>
    <row r="54" spans="1:11" s="43" customFormat="1" ht="12.75" customHeight="1" hidden="1">
      <c r="A54" s="141"/>
      <c r="B54" s="78"/>
      <c r="C54" s="34"/>
      <c r="D54" s="106"/>
      <c r="E54" s="107"/>
      <c r="F54" s="108"/>
      <c r="G54" s="105"/>
      <c r="H54" s="105"/>
      <c r="I54" s="105"/>
      <c r="J54" s="87"/>
      <c r="K54" s="138"/>
    </row>
    <row r="55" spans="1:13" s="44" customFormat="1" ht="21" customHeight="1" hidden="1">
      <c r="A55" s="148"/>
      <c r="B55" s="109" t="s">
        <v>107</v>
      </c>
      <c r="C55" s="110">
        <f>SUM(C52,C48)</f>
        <v>86461980</v>
      </c>
      <c r="D55" s="111">
        <f>SUM(D52,D46)</f>
        <v>87389176</v>
      </c>
      <c r="E55" s="112">
        <f>SUM(E52,E48)</f>
        <v>82074409.60282052</v>
      </c>
      <c r="F55" s="113"/>
      <c r="G55" s="104"/>
      <c r="H55" s="104"/>
      <c r="I55" s="30" t="s">
        <v>108</v>
      </c>
      <c r="J55" s="87">
        <v>6282904.23307693</v>
      </c>
      <c r="K55" s="149">
        <f>SUM(K52,K46)-1</f>
        <v>6282914.257179489</v>
      </c>
      <c r="L55" s="44">
        <v>6282904.233076924</v>
      </c>
      <c r="M55" s="51" t="s">
        <v>109</v>
      </c>
    </row>
    <row r="56" spans="1:13" s="114" customFormat="1" ht="15.75" customHeight="1" hidden="1">
      <c r="A56" s="150"/>
      <c r="B56" s="31"/>
      <c r="C56" s="32"/>
      <c r="D56" s="115" t="s">
        <v>110</v>
      </c>
      <c r="E56" s="116"/>
      <c r="F56" s="117"/>
      <c r="G56" s="118"/>
      <c r="H56" s="118"/>
      <c r="I56" s="118"/>
      <c r="J56" s="118"/>
      <c r="K56" s="151"/>
      <c r="M56" s="119"/>
    </row>
    <row r="57" spans="1:13" s="114" customFormat="1" ht="19.5" customHeight="1" hidden="1">
      <c r="A57" s="152"/>
      <c r="B57" s="33"/>
      <c r="C57" s="33"/>
      <c r="D57" s="86"/>
      <c r="E57" s="83"/>
      <c r="F57" s="83"/>
      <c r="G57" s="83"/>
      <c r="H57" s="83"/>
      <c r="I57" s="34" t="s">
        <v>111</v>
      </c>
      <c r="J57" s="118"/>
      <c r="K57" s="151">
        <v>2000000</v>
      </c>
      <c r="L57" s="114">
        <v>2000000</v>
      </c>
      <c r="M57" s="120" t="s">
        <v>112</v>
      </c>
    </row>
    <row r="58" spans="1:13" s="114" customFormat="1" ht="15" customHeight="1" hidden="1">
      <c r="A58" s="153"/>
      <c r="B58" s="118"/>
      <c r="C58" s="118"/>
      <c r="D58" s="86"/>
      <c r="E58" s="83"/>
      <c r="F58" s="83"/>
      <c r="G58" s="83"/>
      <c r="H58" s="83"/>
      <c r="I58" s="34" t="s">
        <v>113</v>
      </c>
      <c r="J58" s="118"/>
      <c r="K58" s="154">
        <v>487732</v>
      </c>
      <c r="L58" s="114">
        <v>482566</v>
      </c>
      <c r="M58" s="51" t="s">
        <v>109</v>
      </c>
    </row>
    <row r="59" spans="1:13" s="114" customFormat="1" ht="23.25" customHeight="1" hidden="1" thickBot="1">
      <c r="A59" s="153"/>
      <c r="B59" s="118"/>
      <c r="C59" s="118"/>
      <c r="D59" s="86"/>
      <c r="E59" s="83"/>
      <c r="F59" s="83"/>
      <c r="G59" s="83"/>
      <c r="H59" s="83"/>
      <c r="I59" s="34" t="s">
        <v>114</v>
      </c>
      <c r="J59" s="118"/>
      <c r="K59" s="155">
        <f>SUM(K55:K58)</f>
        <v>8770646.25717949</v>
      </c>
      <c r="L59" s="114">
        <v>8765470.233076924</v>
      </c>
      <c r="M59" s="121" t="s">
        <v>115</v>
      </c>
    </row>
    <row r="60" spans="1:11" s="122" customFormat="1" ht="9" customHeight="1" hidden="1" thickTop="1">
      <c r="A60" s="156"/>
      <c r="B60" s="157"/>
      <c r="C60" s="157"/>
      <c r="D60" s="157"/>
      <c r="E60" s="123"/>
      <c r="F60" s="123"/>
      <c r="G60" s="157"/>
      <c r="H60" s="157"/>
      <c r="I60" s="157"/>
      <c r="J60" s="157"/>
      <c r="K60" s="158"/>
    </row>
    <row r="61" spans="1:11" s="36" customFormat="1" ht="15" hidden="1">
      <c r="A61" s="159"/>
      <c r="B61" s="160"/>
      <c r="C61" s="160"/>
      <c r="D61" s="160"/>
      <c r="E61" s="123"/>
      <c r="F61" s="123"/>
      <c r="G61" s="160"/>
      <c r="H61" s="160"/>
      <c r="I61" s="160"/>
      <c r="J61" s="160"/>
      <c r="K61" s="158"/>
    </row>
    <row r="62" spans="1:11" s="36" customFormat="1" ht="15" hidden="1">
      <c r="A62" s="159"/>
      <c r="B62" s="160"/>
      <c r="C62" s="160"/>
      <c r="D62" s="157"/>
      <c r="E62" s="123"/>
      <c r="F62" s="123"/>
      <c r="G62" s="160"/>
      <c r="H62" s="160"/>
      <c r="I62" s="160"/>
      <c r="J62" s="160"/>
      <c r="K62" s="158"/>
    </row>
    <row r="63" spans="1:11" s="36" customFormat="1" ht="15" hidden="1">
      <c r="A63" s="159"/>
      <c r="B63" s="160"/>
      <c r="C63" s="160"/>
      <c r="D63" s="160"/>
      <c r="E63" s="123"/>
      <c r="F63" s="123"/>
      <c r="G63" s="160"/>
      <c r="H63" s="160"/>
      <c r="I63" s="160"/>
      <c r="J63" s="160"/>
      <c r="K63" s="158"/>
    </row>
    <row r="64" spans="1:11" s="36" customFormat="1" ht="15" hidden="1">
      <c r="A64" s="161"/>
      <c r="B64" s="160"/>
      <c r="C64" s="160"/>
      <c r="D64" s="160"/>
      <c r="E64" s="123"/>
      <c r="F64" s="123"/>
      <c r="G64" s="160"/>
      <c r="H64" s="160"/>
      <c r="I64" s="160"/>
      <c r="J64" s="160"/>
      <c r="K64" s="162"/>
    </row>
    <row r="65" spans="1:11" s="36" customFormat="1" ht="15" hidden="1">
      <c r="A65" s="161"/>
      <c r="B65" s="160"/>
      <c r="C65" s="160"/>
      <c r="D65" s="160"/>
      <c r="E65" s="123"/>
      <c r="F65" s="123"/>
      <c r="G65" s="160"/>
      <c r="H65" s="160"/>
      <c r="I65" s="160"/>
      <c r="J65" s="160"/>
      <c r="K65" s="162"/>
    </row>
    <row r="66" spans="1:11" s="36" customFormat="1" ht="60" customHeight="1" hidden="1" thickBot="1">
      <c r="A66" s="161"/>
      <c r="B66" s="160"/>
      <c r="C66" s="160"/>
      <c r="D66" s="160"/>
      <c r="E66" s="123"/>
      <c r="F66" s="123"/>
      <c r="G66" s="160"/>
      <c r="H66" s="160"/>
      <c r="I66" s="160"/>
      <c r="J66" s="160"/>
      <c r="K66" s="162"/>
    </row>
    <row r="67" spans="1:11" s="36" customFormat="1" ht="15" hidden="1">
      <c r="A67" s="161"/>
      <c r="B67" s="160"/>
      <c r="C67" s="160"/>
      <c r="D67" s="163" t="s">
        <v>116</v>
      </c>
      <c r="E67" s="123"/>
      <c r="F67" s="123"/>
      <c r="G67" s="160"/>
      <c r="H67" s="160"/>
      <c r="I67" s="160"/>
      <c r="J67" s="160"/>
      <c r="K67" s="162"/>
    </row>
    <row r="68" spans="1:11" s="36" customFormat="1" ht="15" hidden="1">
      <c r="A68" s="161"/>
      <c r="B68" s="160"/>
      <c r="C68" s="160"/>
      <c r="D68" s="163"/>
      <c r="E68" s="123"/>
      <c r="F68" s="123"/>
      <c r="G68" s="160"/>
      <c r="H68" s="160"/>
      <c r="I68" s="160"/>
      <c r="J68" s="160"/>
      <c r="K68" s="162"/>
    </row>
    <row r="69" spans="1:11" s="36" customFormat="1" ht="15" hidden="1">
      <c r="A69" s="161"/>
      <c r="B69" s="160"/>
      <c r="C69" s="160"/>
      <c r="D69" s="164" t="s">
        <v>117</v>
      </c>
      <c r="E69" s="123"/>
      <c r="F69" s="123"/>
      <c r="G69" s="160"/>
      <c r="H69" s="160"/>
      <c r="I69" s="160"/>
      <c r="J69" s="160"/>
      <c r="K69" s="162"/>
    </row>
    <row r="70" spans="1:11" s="36" customFormat="1" ht="15" hidden="1">
      <c r="A70" s="161"/>
      <c r="B70" s="160"/>
      <c r="C70" s="160"/>
      <c r="D70" s="164" t="s">
        <v>118</v>
      </c>
      <c r="E70" s="123"/>
      <c r="F70" s="123"/>
      <c r="G70" s="160"/>
      <c r="H70" s="160"/>
      <c r="I70" s="160"/>
      <c r="J70" s="160"/>
      <c r="K70" s="162"/>
    </row>
    <row r="71" spans="1:11" s="36" customFormat="1" ht="15" hidden="1">
      <c r="A71" s="161"/>
      <c r="B71" s="160"/>
      <c r="C71" s="160"/>
      <c r="D71" s="163" t="s">
        <v>107</v>
      </c>
      <c r="E71" s="123"/>
      <c r="F71" s="123"/>
      <c r="G71" s="160"/>
      <c r="H71" s="160"/>
      <c r="I71" s="160"/>
      <c r="J71" s="160"/>
      <c r="K71" s="162"/>
    </row>
    <row r="72" spans="1:11" s="36" customFormat="1" ht="15" hidden="1">
      <c r="A72" s="161"/>
      <c r="B72" s="160"/>
      <c r="C72" s="160"/>
      <c r="D72" s="160"/>
      <c r="E72" s="123"/>
      <c r="F72" s="123"/>
      <c r="G72" s="160"/>
      <c r="H72" s="160"/>
      <c r="I72" s="160"/>
      <c r="J72" s="160"/>
      <c r="K72" s="162"/>
    </row>
    <row r="73" spans="1:11" s="36" customFormat="1" ht="15" hidden="1">
      <c r="A73" s="161"/>
      <c r="B73" s="160"/>
      <c r="C73" s="160"/>
      <c r="D73" s="163" t="s">
        <v>119</v>
      </c>
      <c r="E73" s="123"/>
      <c r="F73" s="123"/>
      <c r="G73" s="160"/>
      <c r="H73" s="160"/>
      <c r="I73" s="160"/>
      <c r="J73" s="160"/>
      <c r="K73" s="162"/>
    </row>
    <row r="74" spans="1:11" s="36" customFormat="1" ht="15" hidden="1">
      <c r="A74" s="161"/>
      <c r="B74" s="160"/>
      <c r="C74" s="160"/>
      <c r="D74" s="163" t="s">
        <v>120</v>
      </c>
      <c r="E74" s="123"/>
      <c r="F74" s="123"/>
      <c r="G74" s="160"/>
      <c r="H74" s="160"/>
      <c r="I74" s="160"/>
      <c r="J74" s="160"/>
      <c r="K74" s="162"/>
    </row>
    <row r="75" spans="1:11" s="36" customFormat="1" ht="15" hidden="1">
      <c r="A75" s="161"/>
      <c r="B75" s="160"/>
      <c r="C75" s="160"/>
      <c r="D75" s="160"/>
      <c r="E75" s="123"/>
      <c r="F75" s="123"/>
      <c r="G75" s="160"/>
      <c r="H75" s="160"/>
      <c r="I75" s="160"/>
      <c r="J75" s="160"/>
      <c r="K75" s="162"/>
    </row>
    <row r="76" spans="1:11" s="36" customFormat="1" ht="15" hidden="1">
      <c r="A76" s="161"/>
      <c r="B76" s="160"/>
      <c r="C76" s="160"/>
      <c r="D76" s="160"/>
      <c r="E76" s="123"/>
      <c r="F76" s="123"/>
      <c r="G76" s="160"/>
      <c r="H76" s="160"/>
      <c r="I76" s="160"/>
      <c r="J76" s="160"/>
      <c r="K76" s="162"/>
    </row>
    <row r="77" spans="1:11" s="36" customFormat="1" ht="15" hidden="1">
      <c r="A77" s="161"/>
      <c r="B77" s="160"/>
      <c r="C77" s="160"/>
      <c r="D77" s="160"/>
      <c r="E77" s="123"/>
      <c r="F77" s="123"/>
      <c r="G77" s="160"/>
      <c r="H77" s="160"/>
      <c r="I77" s="160"/>
      <c r="J77" s="160"/>
      <c r="K77" s="162"/>
    </row>
    <row r="78" spans="1:11" s="36" customFormat="1" ht="15">
      <c r="A78" s="161"/>
      <c r="B78" s="160"/>
      <c r="C78" s="160"/>
      <c r="D78" s="160"/>
      <c r="E78" s="123"/>
      <c r="F78" s="123"/>
      <c r="G78" s="160"/>
      <c r="H78" s="160"/>
      <c r="I78" s="160"/>
      <c r="J78" s="160"/>
      <c r="K78" s="162"/>
    </row>
    <row r="79" spans="1:11" ht="15.75" thickBot="1">
      <c r="A79" s="165"/>
      <c r="B79" s="166" t="s">
        <v>125</v>
      </c>
      <c r="C79" s="167"/>
      <c r="D79" s="168">
        <f>D52+D45+D34+D26+D20+D10</f>
        <v>87389176</v>
      </c>
      <c r="E79" s="168">
        <f>E52+E45+E34+E26+E20+E10</f>
        <v>81106271.60282052</v>
      </c>
      <c r="F79" s="167"/>
      <c r="G79" s="169">
        <f>E79/D79</f>
        <v>0.9281043181231108</v>
      </c>
      <c r="H79" s="169">
        <f>I79/D79</f>
        <v>0.07189580614857256</v>
      </c>
      <c r="I79" s="168">
        <f>I52+I45+I34+I26+I20+I10</f>
        <v>6282915.257179489</v>
      </c>
      <c r="J79" s="167"/>
      <c r="K79" s="170"/>
    </row>
  </sheetData>
  <mergeCells count="10">
    <mergeCell ref="M6:M7"/>
    <mergeCell ref="H2:H4"/>
    <mergeCell ref="A1:K1"/>
    <mergeCell ref="A2:B4"/>
    <mergeCell ref="C2:C4"/>
    <mergeCell ref="D2:D4"/>
    <mergeCell ref="E2:E4"/>
    <mergeCell ref="F2:F4"/>
    <mergeCell ref="G2:G4"/>
    <mergeCell ref="I2:K3"/>
  </mergeCells>
  <conditionalFormatting sqref="I1:I1048576">
    <cfRule type="cellIs" priority="1" dxfId="0" operator="lessThan">
      <formula>0</formula>
    </cfRule>
  </conditionalFormatting>
  <printOptions/>
  <pageMargins left="0.25" right="0.25" top="0.75" bottom="0.75" header="0.3" footer="0.3"/>
  <pageSetup cellComments="asDisplayed" fitToHeight="2" horizontalDpi="600" verticalDpi="600" orientation="portrait" paperSize="5" scale="74" r:id="rId1"/>
  <headerFooter alignWithMargins="0">
    <oddHeader>&amp;R&amp;"Arial,Regular"&amp;10Attachment 8
2012-0219
9/5/12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Carroll, Kelli</dc:creator>
  <cp:keywords/>
  <dc:description/>
  <cp:lastModifiedBy>Calderon, A.</cp:lastModifiedBy>
  <cp:lastPrinted>2012-09-04T14:52:01Z</cp:lastPrinted>
  <dcterms:created xsi:type="dcterms:W3CDTF">2012-08-31T23:27:07Z</dcterms:created>
  <dcterms:modified xsi:type="dcterms:W3CDTF">2012-09-05T21:34:41Z</dcterms:modified>
  <cp:category/>
  <cp:version/>
  <cp:contentType/>
  <cp:contentStatus/>
</cp:coreProperties>
</file>