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15" windowWidth="12600" windowHeight="10485" tabRatio="933" activeTab="0"/>
  </bookViews>
  <sheets>
    <sheet name="Corridor_Analysis" sheetId="1" r:id="rId1"/>
    <sheet name="HH_Jobs_CorridorLength" sheetId="2" r:id="rId2"/>
    <sheet name="Low_Income_Minority" sheetId="3" r:id="rId3"/>
    <sheet name="Primary_Connections_To_Centers" sheetId="4" r:id="rId4"/>
    <sheet name="Step_II_Load_CostRecovery_Sum" sheetId="5" r:id="rId5"/>
    <sheet name="Productivity_PEAK" sheetId="6" r:id="rId6"/>
    <sheet name="Productivity_OffPeak" sheetId="7" r:id="rId7"/>
    <sheet name="Productivity_Night" sheetId="8" r:id="rId8"/>
    <sheet name="Load_AM_IB" sheetId="9" r:id="rId9"/>
    <sheet name="Loading_PM_OB" sheetId="10" r:id="rId10"/>
    <sheet name="Load_Midday" sheetId="11" r:id="rId11"/>
  </sheets>
  <definedNames>
    <definedName name="ActCntr_High_Pts">'Corridor_Analysis'!$O$120</definedName>
    <definedName name="ActCntr_High_Thrshld">'Corridor_Analysis'!$P$120</definedName>
    <definedName name="ActCntr_Low_Pts">'Corridor_Analysis'!$O$122</definedName>
    <definedName name="ActCntr_Low_Thrshld">'Corridor_Analysis'!$P$122</definedName>
    <definedName name="ActivityCntr">'Corridor_Analysis'!$O$4:$O$116</definedName>
    <definedName name="ActivityCntr_Pts">'Corridor_Analysis'!$P$4:$P$116</definedName>
    <definedName name="Complete_DataSet">'Corridor_Analysis'!$A$4:$BC$116</definedName>
    <definedName name="CostRecovery100">'Corridor_Analysis'!$AE$120</definedName>
    <definedName name="CostRecovery100_StepIncrease">'Corridor_Analysis'!$AF$120</definedName>
    <definedName name="CostRecovery16">'Corridor_Analysis'!$AE$123</definedName>
    <definedName name="CostRecovery16_StepIncrease">'Corridor_Analysis'!$AH$123</definedName>
    <definedName name="CostRecovery33">'Corridor_Analysis'!$AE$122</definedName>
    <definedName name="CostRecovery33_StepIncrease">'Corridor_Analysis'!$AH$122</definedName>
    <definedName name="CostRecovery50">'Corridor_Analysis'!$AE$121</definedName>
    <definedName name="CostRecovery50_StepIncrease">'Corridor_Analysis'!$AF$121</definedName>
    <definedName name="CostRecovery8">'Corridor_Analysis'!$AE$124</definedName>
    <definedName name="CostRecovery8_StepIncrease">'Corridor_Analysis'!$AH$124</definedName>
    <definedName name="Demo_Pts">'Corridor_Analysis'!$N$120</definedName>
    <definedName name="Demo_Thrshld">'Corridor_Analysis'!$M$120</definedName>
    <definedName name="FinalPeak_Service">'Corridor_Analysis'!$AQ$4:$AQ$116</definedName>
    <definedName name="HH_Crdr_Mi">'Corridor_Analysis'!$G$4:$G$116</definedName>
    <definedName name="HH_High_Pts">'Corridor_Analysis'!$G$120</definedName>
    <definedName name="HH_High_Thrshld">'Corridor_Analysis'!$H$120</definedName>
    <definedName name="HH_Low_Pts">'Corridor_Analysis'!$G$122</definedName>
    <definedName name="HH_Low_Thrshld">'Corridor_Analysis'!$H$122</definedName>
    <definedName name="HH_Mid_Pts">'Corridor_Analysis'!$G$121</definedName>
    <definedName name="HH_Mid_Thrshld">'Corridor_Analysis'!$H$121</definedName>
    <definedName name="HH_Pts">'Corridor_Analysis'!$H$4:$H$116</definedName>
    <definedName name="Households__Corridor_Mile">'Corridor_Analysis'!$G$4:$G$116</definedName>
    <definedName name="Jobs__CorridorMile">'Corridor_Analysis'!$I$4:$I$116</definedName>
    <definedName name="Jobs_High_Pts">'Corridor_Analysis'!$I$120</definedName>
    <definedName name="Jobs_High_Thrshld">'Corridor_Analysis'!$J$120</definedName>
    <definedName name="Jobs_Low_Pts">'Corridor_Analysis'!$I$122</definedName>
    <definedName name="Jobs_Low_Thrshld">'Corridor_Analysis'!$J$122</definedName>
    <definedName name="Jobs_Mid_pts">'Corridor_Analysis'!$I$121</definedName>
    <definedName name="Jobs_Mid_Thrshld">'Corridor_Analysis'!$J$121</definedName>
    <definedName name="Jobs_Pts">'Corridor_Analysis'!$J$4:$J$116</definedName>
    <definedName name="Load_0.8">'Corridor_Analysis'!$Z$121</definedName>
    <definedName name="Load_1.5">'Corridor_Analysis'!$Z$120</definedName>
    <definedName name="Load_1StepIncrease">'Corridor_Analysis'!$AA$121</definedName>
    <definedName name="Load_2StepIncrease">'Corridor_Analysis'!$AA$120</definedName>
    <definedName name="LOS_15Min">'Corridor_Analysis'!$U$120</definedName>
    <definedName name="LOS_30Min">'Corridor_Analysis'!$U$121</definedName>
    <definedName name="LOS_60Min">'Corridor_Analysis'!$U$122</definedName>
    <definedName name="Low_Income">'Corridor_Analysis'!$M$4:$M$116</definedName>
    <definedName name="Low_Income_Pts">'Corridor_Analysis'!$N$4:$N$116</definedName>
    <definedName name="Min_Pts">'Corridor_Analysis'!$L$120</definedName>
    <definedName name="Minority">'Corridor_Analysis'!$K$4:$K$116</definedName>
    <definedName name="Minority_Pts">'Corridor_Analysis'!$L$4:$L$116</definedName>
    <definedName name="Minority_Thrshld">'Corridor_Analysis'!$K$120</definedName>
    <definedName name="Night_15min_Pts">'Corridor_Analysis'!$X$120</definedName>
    <definedName name="Night_30min_Pts">'Corridor_Analysis'!$X$121</definedName>
    <definedName name="Night_60min_Pts">'Corridor_Analysis'!$X$122</definedName>
    <definedName name="Night_CostRecovery">'Corridor_Analysis'!$AE$4:$AE$116</definedName>
    <definedName name="OffPeak_15min_Pts">'Corridor_Analysis'!$W$120</definedName>
    <definedName name="OffPeak_30min_Pts">'Corridor_Analysis'!$W$121</definedName>
    <definedName name="OffPeak_60min_Pts">'Corridor_Analysis'!$W$122</definedName>
    <definedName name="OffPeak_CostRecovery">'Corridor_Analysis'!$AD$4:$AD$116</definedName>
    <definedName name="OffPeak_Load">'Corridor_Analysis'!$Z$4:$Z$116</definedName>
    <definedName name="Peak_15min_Pts">'Corridor_Analysis'!$V$120</definedName>
    <definedName name="Peak_30min_Pts">'Corridor_Analysis'!$V$121</definedName>
    <definedName name="Peak_60min_Pts">'Corridor_Analysis'!$V$122</definedName>
    <definedName name="Peak_CostRecovery">'Corridor_Analysis'!$AC$4:$AC$116</definedName>
    <definedName name="Peak_Load">'Corridor_Analysis'!$Y$4:$Y$116</definedName>
    <definedName name="_xlnm.Print_Area" localSheetId="0">'Corridor_Analysis'!$A$4:$AT$122</definedName>
    <definedName name="_xlnm.Print_Area" localSheetId="10">'Load_Midday'!$A$1:$G$37</definedName>
    <definedName name="_xlnm.Print_Area" localSheetId="2">'Low_Income_Minority'!$A$1:$J$121</definedName>
    <definedName name="_xlnm.Print_Area" localSheetId="7">'Productivity_Night'!$C$102:$E$127</definedName>
    <definedName name="_xlnm.Print_Area" localSheetId="6">'Productivity_OffPeak'!$C$1:$E$56</definedName>
    <definedName name="_xlnm.Print_Area" localSheetId="5">'Productivity_PEAK'!$C$2:$E$36</definedName>
    <definedName name="_xlnm.Print_Area" localSheetId="4">'Step_II_Load_CostRecovery_Sum'!$A$4:$M$117</definedName>
    <definedName name="_xlnm.Print_Titles" localSheetId="0">'Corridor_Analysis'!$A:$D,'Corridor_Analysis'!#REF!</definedName>
    <definedName name="_xlnm.Print_Titles" localSheetId="2">'Low_Income_Minority'!$1:$2</definedName>
    <definedName name="_xlnm.Print_Titles" localSheetId="3">'Primary_Connections_To_Centers'!$1:$2</definedName>
    <definedName name="_xlnm.Print_Titles" localSheetId="4">'Step_II_Load_CostRecovery_Sum'!$4:$4</definedName>
    <definedName name="RapidRide">'Corridor_Analysis'!$T$4:$T$116</definedName>
    <definedName name="RegCntr_High_Pts">'Corridor_Analysis'!$Q$120</definedName>
    <definedName name="RegCntr_High_Thrshld">'Corridor_Analysis'!$R$120</definedName>
    <definedName name="RegCntr_Low_Pts">'Corridor_Analysis'!$Q$122</definedName>
    <definedName name="RegCntr_Low_Thrshld">'Corridor_Analysis'!$R$122</definedName>
    <definedName name="RegionalCntr">'Corridor_Analysis'!$Q$4:$Q$116</definedName>
    <definedName name="RegionalCntr_Pts">'Corridor_Analysis'!$R$4:$R$116</definedName>
    <definedName name="Total_Score">'Corridor_Analysis'!$S$4:$S$116</definedName>
  </definedNames>
  <calcPr fullCalcOnLoad="1"/>
</workbook>
</file>

<file path=xl/sharedStrings.xml><?xml version="1.0" encoding="utf-8"?>
<sst xmlns="http://schemas.openxmlformats.org/spreadsheetml/2006/main" count="4563" uniqueCount="751">
  <si>
    <t>Activity Center 2</t>
  </si>
  <si>
    <t>Urban Center 1</t>
  </si>
  <si>
    <t>Urban Center 2</t>
  </si>
  <si>
    <t>Ballard</t>
  </si>
  <si>
    <t>Seattle CBD</t>
  </si>
  <si>
    <t>Points</t>
  </si>
  <si>
    <t>Connections</t>
  </si>
  <si>
    <t>16C</t>
  </si>
  <si>
    <t>Capitol Hill</t>
  </si>
  <si>
    <t>Madison St</t>
  </si>
  <si>
    <t>11L</t>
  </si>
  <si>
    <t>Madison Park</t>
  </si>
  <si>
    <t>17C</t>
  </si>
  <si>
    <t>Central District</t>
  </si>
  <si>
    <t>E Jefferson St</t>
  </si>
  <si>
    <t>3 TB</t>
  </si>
  <si>
    <t>19C</t>
  </si>
  <si>
    <t>Fremont</t>
  </si>
  <si>
    <t>Dexter Ave N</t>
  </si>
  <si>
    <t>26/28</t>
  </si>
  <si>
    <t>47C</t>
  </si>
  <si>
    <t>U. District</t>
  </si>
  <si>
    <t>Eastlake, Fairview</t>
  </si>
  <si>
    <t>48C</t>
  </si>
  <si>
    <t>Broadway</t>
  </si>
  <si>
    <t>59L</t>
  </si>
  <si>
    <t>Cowen Park</t>
  </si>
  <si>
    <t>University Way, I-5</t>
  </si>
  <si>
    <t>73 TB EX</t>
  </si>
  <si>
    <t>15C</t>
  </si>
  <si>
    <t>15th Ave E</t>
  </si>
  <si>
    <t>7C</t>
  </si>
  <si>
    <t>15th Ave W</t>
  </si>
  <si>
    <t>D</t>
  </si>
  <si>
    <t>34C</t>
  </si>
  <si>
    <t>Madrona</t>
  </si>
  <si>
    <t>Union St</t>
  </si>
  <si>
    <t>2 S</t>
  </si>
  <si>
    <t>40C</t>
  </si>
  <si>
    <t>Rainier Beach</t>
  </si>
  <si>
    <t>Seattle Center</t>
  </si>
  <si>
    <t>MLK Jr Wy, E John St, Denny Way</t>
  </si>
  <si>
    <t>8C</t>
  </si>
  <si>
    <t>Wallingford (N 45th St)</t>
  </si>
  <si>
    <t>13C</t>
  </si>
  <si>
    <t>Burien</t>
  </si>
  <si>
    <t>Delridge, Ambaum</t>
  </si>
  <si>
    <t>14C</t>
  </si>
  <si>
    <t>White Center</t>
  </si>
  <si>
    <t>South Park, Georgetown, Beacon Hill, First Hill</t>
  </si>
  <si>
    <t>20L</t>
  </si>
  <si>
    <t>Tukwila</t>
  </si>
  <si>
    <t>Pacific Hwy S, 4th Ave S</t>
  </si>
  <si>
    <t>49L</t>
  </si>
  <si>
    <t>Colman Park</t>
  </si>
  <si>
    <t>Leschi, Yesler</t>
  </si>
  <si>
    <t>8L</t>
  </si>
  <si>
    <t>Magnolia</t>
  </si>
  <si>
    <t>34th Ave W, 28th Ave W</t>
  </si>
  <si>
    <t>19L</t>
  </si>
  <si>
    <t>Des Moines Mem Dr, South Park</t>
  </si>
  <si>
    <t>132 TB</t>
  </si>
  <si>
    <t>39C</t>
  </si>
  <si>
    <t>Rainier Ave</t>
  </si>
  <si>
    <t>7 TB</t>
  </si>
  <si>
    <t>4C</t>
  </si>
  <si>
    <t>Aurora Village</t>
  </si>
  <si>
    <t>Aurora Ave N</t>
  </si>
  <si>
    <t>E</t>
  </si>
  <si>
    <t>9C</t>
  </si>
  <si>
    <t>Beacon Hill</t>
  </si>
  <si>
    <t>Beacon Ave</t>
  </si>
  <si>
    <t>37C</t>
  </si>
  <si>
    <t>Queen Anne</t>
  </si>
  <si>
    <t>Queen Anne Ave N</t>
  </si>
  <si>
    <t>38C</t>
  </si>
  <si>
    <t>Taylor Ave N</t>
  </si>
  <si>
    <t>3 N</t>
  </si>
  <si>
    <t>15L</t>
  </si>
  <si>
    <t>Mount Baker</t>
  </si>
  <si>
    <t>31st Av S, S Jackson St</t>
  </si>
  <si>
    <t>14 S</t>
  </si>
  <si>
    <t>20C</t>
  </si>
  <si>
    <t>Greenwood</t>
  </si>
  <si>
    <t>Greenwood Ave N</t>
  </si>
  <si>
    <t>44C</t>
  </si>
  <si>
    <t>Northgate</t>
  </si>
  <si>
    <t>Green Lake, Wallingford</t>
  </si>
  <si>
    <t>5L</t>
  </si>
  <si>
    <t>N 40th St</t>
  </si>
  <si>
    <t>30/31</t>
  </si>
  <si>
    <t>18C</t>
  </si>
  <si>
    <t>Federal Way</t>
  </si>
  <si>
    <t>SeaTac</t>
  </si>
  <si>
    <t>SR-99</t>
  </si>
  <si>
    <t>A</t>
  </si>
  <si>
    <t>28C</t>
  </si>
  <si>
    <t>Kent</t>
  </si>
  <si>
    <t>Renton</t>
  </si>
  <si>
    <t>Kent East Hill</t>
  </si>
  <si>
    <t>29C</t>
  </si>
  <si>
    <t>2C</t>
  </si>
  <si>
    <t>Auburn</t>
  </si>
  <si>
    <t>Kent, SeaTac</t>
  </si>
  <si>
    <t>32C</t>
  </si>
  <si>
    <t>Lake City</t>
  </si>
  <si>
    <t>NE 125th St, Northgate, I-5</t>
  </si>
  <si>
    <t>3C</t>
  </si>
  <si>
    <t>Auburn/GRCC</t>
  </si>
  <si>
    <t>15th St SW, Lea Hill Rd</t>
  </si>
  <si>
    <t>42C</t>
  </si>
  <si>
    <t>S 154th St</t>
  </si>
  <si>
    <t>F</t>
  </si>
  <si>
    <t>42L</t>
  </si>
  <si>
    <t>Des Moines</t>
  </si>
  <si>
    <t>McMicken Heights, Sea-Tac</t>
  </si>
  <si>
    <t>43C</t>
  </si>
  <si>
    <t>MLK Jr Wy, I-5</t>
  </si>
  <si>
    <t>11C</t>
  </si>
  <si>
    <t>Bellevue</t>
  </si>
  <si>
    <t>Redmond</t>
  </si>
  <si>
    <t>NE 8th St, 156th Ave NE</t>
  </si>
  <si>
    <t>B</t>
  </si>
  <si>
    <t>14L</t>
  </si>
  <si>
    <t>16th Ave SW, SSCC</t>
  </si>
  <si>
    <t>18L</t>
  </si>
  <si>
    <t>1st Ave S, South Park, Airport Wy</t>
  </si>
  <si>
    <t>131 TB</t>
  </si>
  <si>
    <t>1L</t>
  </si>
  <si>
    <t>Shoreline CC</t>
  </si>
  <si>
    <t>N 130th St, Meridian Av N</t>
  </si>
  <si>
    <t>28L</t>
  </si>
  <si>
    <t>Renton Highlands</t>
  </si>
  <si>
    <t>NE 4th St, Union Ave NE</t>
  </si>
  <si>
    <t>35C</t>
  </si>
  <si>
    <t>Mt Baker</t>
  </si>
  <si>
    <t>23rd Ave E</t>
  </si>
  <si>
    <t>48 S</t>
  </si>
  <si>
    <t>36C</t>
  </si>
  <si>
    <t>Roosevelt</t>
  </si>
  <si>
    <t>4L</t>
  </si>
  <si>
    <t>Richmond Beach</t>
  </si>
  <si>
    <t>Richmond Bch Rd, 15th Ave NE</t>
  </si>
  <si>
    <t>6C</t>
  </si>
  <si>
    <t>Holman Road, Northgate</t>
  </si>
  <si>
    <t>6L</t>
  </si>
  <si>
    <t>35th Ave NE</t>
  </si>
  <si>
    <t>9L</t>
  </si>
  <si>
    <t>Discovery Park</t>
  </si>
  <si>
    <t>Gilman Ave W, 22nd Ave W, Thorndyke Av W</t>
  </si>
  <si>
    <t>12L</t>
  </si>
  <si>
    <t>Alki</t>
  </si>
  <si>
    <t>Admiral Way</t>
  </si>
  <si>
    <t>13L</t>
  </si>
  <si>
    <t>High Point</t>
  </si>
  <si>
    <t>35th Ave SW</t>
  </si>
  <si>
    <t>5C</t>
  </si>
  <si>
    <t>Green Lake, Greenwood</t>
  </si>
  <si>
    <t>48 N</t>
  </si>
  <si>
    <t>58L</t>
  </si>
  <si>
    <t>Lakeview</t>
  </si>
  <si>
    <t>12C</t>
  </si>
  <si>
    <t>Newcastle, Factoria</t>
  </si>
  <si>
    <t>1C</t>
  </si>
  <si>
    <t>Admiral District</t>
  </si>
  <si>
    <t>Southcenter</t>
  </si>
  <si>
    <t>California Ave SW, Military Rd, TIBS</t>
  </si>
  <si>
    <t>24L</t>
  </si>
  <si>
    <t>Green River CC</t>
  </si>
  <si>
    <t>132nd Ave SE</t>
  </si>
  <si>
    <t>25L</t>
  </si>
  <si>
    <t>Fairwood</t>
  </si>
  <si>
    <t>S Puget Dr, Royal Hills</t>
  </si>
  <si>
    <t>26C</t>
  </si>
  <si>
    <t>Kent-DM Rd, S. 240th St, 1st Av S</t>
  </si>
  <si>
    <t>131/166</t>
  </si>
  <si>
    <t>27L</t>
  </si>
  <si>
    <t>Skyway, S. Beacon Hill</t>
  </si>
  <si>
    <t>2L</t>
  </si>
  <si>
    <t>Meridian Av N</t>
  </si>
  <si>
    <t>43L</t>
  </si>
  <si>
    <t>S 180th St, Carr Road</t>
  </si>
  <si>
    <t>49C</t>
  </si>
  <si>
    <t>SR-520</t>
  </si>
  <si>
    <t>38L</t>
  </si>
  <si>
    <t>Military Road</t>
  </si>
  <si>
    <t>17L</t>
  </si>
  <si>
    <t>Highland Park, 4th Ave S</t>
  </si>
  <si>
    <t>25C</t>
  </si>
  <si>
    <t>Kenmore</t>
  </si>
  <si>
    <t>Lake Forest Park, Lake City</t>
  </si>
  <si>
    <t>372 TB</t>
  </si>
  <si>
    <t>3L</t>
  </si>
  <si>
    <t>Mountlake Terrace</t>
  </si>
  <si>
    <t>15th Ave NE, 5th Ave NE</t>
  </si>
  <si>
    <t>47L</t>
  </si>
  <si>
    <t>Othello Station</t>
  </si>
  <si>
    <t>Columbia City</t>
  </si>
  <si>
    <t>Seward Park</t>
  </si>
  <si>
    <t>48L</t>
  </si>
  <si>
    <t>60L</t>
  </si>
  <si>
    <t>Wedgwood</t>
  </si>
  <si>
    <t>View Ridge, NE 65th St</t>
  </si>
  <si>
    <t>65L</t>
  </si>
  <si>
    <t>N 155th St, Jackson Park</t>
  </si>
  <si>
    <t>67L</t>
  </si>
  <si>
    <t>Greenwood Av N</t>
  </si>
  <si>
    <t>10L</t>
  </si>
  <si>
    <t>W Nickerson, Westlake Av N, 9th Ave</t>
  </si>
  <si>
    <t>31L</t>
  </si>
  <si>
    <t>Overlake</t>
  </si>
  <si>
    <t>Bell-Red Road</t>
  </si>
  <si>
    <t>10C</t>
  </si>
  <si>
    <t>Eastgate</t>
  </si>
  <si>
    <t>Lake Hills Connector</t>
  </si>
  <si>
    <t>21L</t>
  </si>
  <si>
    <t>Twin Lakes</t>
  </si>
  <si>
    <t>SW Campus Dr, 1st Ave S</t>
  </si>
  <si>
    <t>22L</t>
  </si>
  <si>
    <t>NE Tacoma</t>
  </si>
  <si>
    <t>SW 356th St, 9th Ave S</t>
  </si>
  <si>
    <t>23L</t>
  </si>
  <si>
    <t>Enumclaw</t>
  </si>
  <si>
    <t>Auburn Wy S, SR 164</t>
  </si>
  <si>
    <t>24C</t>
  </si>
  <si>
    <t>Shoreline</t>
  </si>
  <si>
    <t>Lake Forest Park, Aurora Village TC</t>
  </si>
  <si>
    <t>26L</t>
  </si>
  <si>
    <t>West Hill, Rainier View</t>
  </si>
  <si>
    <t>27C</t>
  </si>
  <si>
    <t>Maple Valley</t>
  </si>
  <si>
    <t>Kent-Kangley Road</t>
  </si>
  <si>
    <t>31C</t>
  </si>
  <si>
    <t>Kirkland</t>
  </si>
  <si>
    <t>Factoria</t>
  </si>
  <si>
    <t>Overlake, Crossroads, Eastgate</t>
  </si>
  <si>
    <t>33C</t>
  </si>
  <si>
    <t>Lake City, Sand Point</t>
  </si>
  <si>
    <t>34L</t>
  </si>
  <si>
    <t>Totem Lake</t>
  </si>
  <si>
    <t>Willows Road</t>
  </si>
  <si>
    <t>36L</t>
  </si>
  <si>
    <t>S 320th St</t>
  </si>
  <si>
    <t>37L</t>
  </si>
  <si>
    <t>Mirror Lake</t>
  </si>
  <si>
    <t>S 312th St</t>
  </si>
  <si>
    <t>39L</t>
  </si>
  <si>
    <t>84th Av S, Lind Av SW</t>
  </si>
  <si>
    <t>44L</t>
  </si>
  <si>
    <t>NE 7th St, Edmonds Av NE</t>
  </si>
  <si>
    <t>45L</t>
  </si>
  <si>
    <t>Kennydale</t>
  </si>
  <si>
    <t>Edmonds Av NE</t>
  </si>
  <si>
    <t>46C</t>
  </si>
  <si>
    <t>Kirkland, SR-520</t>
  </si>
  <si>
    <t>50C</t>
  </si>
  <si>
    <t>West Seattle</t>
  </si>
  <si>
    <t>Fauntleroy, Alaska Junction</t>
  </si>
  <si>
    <t>C</t>
  </si>
  <si>
    <t>64L</t>
  </si>
  <si>
    <t>Jackson Park, 15th Av NE</t>
  </si>
  <si>
    <t>30C</t>
  </si>
  <si>
    <t>South Kirkland</t>
  </si>
  <si>
    <t>230 W</t>
  </si>
  <si>
    <t>63L</t>
  </si>
  <si>
    <t>Roosevelt Way NE, NE 75th St</t>
  </si>
  <si>
    <t>66L</t>
  </si>
  <si>
    <t>Broadview</t>
  </si>
  <si>
    <t>8th Av NW, 3rd Av NW</t>
  </si>
  <si>
    <t>7L</t>
  </si>
  <si>
    <t>Sand Point</t>
  </si>
  <si>
    <t>NE 55th St</t>
  </si>
  <si>
    <t>21C</t>
  </si>
  <si>
    <t>Issaquah</t>
  </si>
  <si>
    <t>Newport Way</t>
  </si>
  <si>
    <t>22C</t>
  </si>
  <si>
    <t>Sammamish, Bear Creek</t>
  </si>
  <si>
    <t>23C</t>
  </si>
  <si>
    <t>Juanita</t>
  </si>
  <si>
    <t>29L</t>
  </si>
  <si>
    <t>Mercer Island</t>
  </si>
  <si>
    <t>S Mercer Island</t>
  </si>
  <si>
    <t>Island Crest Way</t>
  </si>
  <si>
    <t>30L</t>
  </si>
  <si>
    <t>Newport Wy , S. Bellevue, Beaux Arts</t>
  </si>
  <si>
    <t>32L</t>
  </si>
  <si>
    <t>Avondale</t>
  </si>
  <si>
    <t>NE 85th St, NE Redmond Wy, Avondale Wy NE</t>
  </si>
  <si>
    <t>33L</t>
  </si>
  <si>
    <t>UW Bothell/CCC</t>
  </si>
  <si>
    <t>132nd Ave NE, Lk Wash Voch Tech</t>
  </si>
  <si>
    <t>35L</t>
  </si>
  <si>
    <t>Kingsgate</t>
  </si>
  <si>
    <t>40L</t>
  </si>
  <si>
    <t>Maple Valley, Black Diamond</t>
  </si>
  <si>
    <t>41C</t>
  </si>
  <si>
    <t>148th Ave, Crossroads, Bellevue College</t>
  </si>
  <si>
    <t>50L</t>
  </si>
  <si>
    <t>North Bend</t>
  </si>
  <si>
    <t>Fall City, Snoqualmie</t>
  </si>
  <si>
    <t>51L</t>
  </si>
  <si>
    <t>Somerset, Factoria, Woodridge</t>
  </si>
  <si>
    <t>52L</t>
  </si>
  <si>
    <t>Phantom Lake</t>
  </si>
  <si>
    <t>53L</t>
  </si>
  <si>
    <t>Sammamish Viewpoint, Northup Way</t>
  </si>
  <si>
    <t>54L</t>
  </si>
  <si>
    <t>Fall City</t>
  </si>
  <si>
    <t>Duvall, Carnation</t>
  </si>
  <si>
    <t>55L</t>
  </si>
  <si>
    <t>UW Bothell</t>
  </si>
  <si>
    <t>Woodinville, Cottage Lake</t>
  </si>
  <si>
    <t>56L</t>
  </si>
  <si>
    <t>Finn Hill, Juanita</t>
  </si>
  <si>
    <t>57L</t>
  </si>
  <si>
    <t>Laurelhurst</t>
  </si>
  <si>
    <t>NE 45th St</t>
  </si>
  <si>
    <t>68L</t>
  </si>
  <si>
    <t>S Vashon</t>
  </si>
  <si>
    <t>N Vashon</t>
  </si>
  <si>
    <t>69L</t>
  </si>
  <si>
    <t>Pacific</t>
  </si>
  <si>
    <t>46L</t>
  </si>
  <si>
    <t>Alaska Junction</t>
  </si>
  <si>
    <t>Genesee Hill</t>
  </si>
  <si>
    <t>Valley Center</t>
  </si>
  <si>
    <t>Algona</t>
  </si>
  <si>
    <t>Between</t>
  </si>
  <si>
    <t>And</t>
  </si>
  <si>
    <t>Via</t>
  </si>
  <si>
    <t>Major Route</t>
  </si>
  <si>
    <t>Jobs/ CorridorMile</t>
  </si>
  <si>
    <t>Households/ Corridor Mile</t>
  </si>
  <si>
    <t>Minority</t>
  </si>
  <si>
    <t>Regional &amp; MI Centers</t>
  </si>
  <si>
    <t>Activity Centers</t>
  </si>
  <si>
    <t>Scores</t>
  </si>
  <si>
    <t>Threshs</t>
  </si>
  <si>
    <t>Thresholds</t>
  </si>
  <si>
    <t>Yes</t>
  </si>
  <si>
    <t>No</t>
  </si>
  <si>
    <t>Score</t>
  </si>
  <si>
    <t>South Park</t>
  </si>
  <si>
    <t>SSCC</t>
  </si>
  <si>
    <t>Duwamish MIC</t>
  </si>
  <si>
    <t>GRCC</t>
  </si>
  <si>
    <t>South Mercer Island</t>
  </si>
  <si>
    <t>U District</t>
  </si>
  <si>
    <t>Kent MIC</t>
  </si>
  <si>
    <t>Green Lake</t>
  </si>
  <si>
    <t>Sammamish</t>
  </si>
  <si>
    <t>Beacon Hill Station</t>
  </si>
  <si>
    <t>Low-Income</t>
  </si>
  <si>
    <t>Activity Connection</t>
  </si>
  <si>
    <t>Urban Connection</t>
  </si>
  <si>
    <t>First Hill</t>
  </si>
  <si>
    <t>Mount Baker Stn</t>
  </si>
  <si>
    <t>South Lake Union</t>
  </si>
  <si>
    <t>PEAK</t>
  </si>
  <si>
    <t>OFFPEAK</t>
  </si>
  <si>
    <t>NIGHT</t>
  </si>
  <si>
    <t>SUGGESTED SERVICE LEVELS</t>
  </si>
  <si>
    <t>TOTAL SCORE</t>
  </si>
  <si>
    <t>Levels</t>
  </si>
  <si>
    <t>ADD NIGHT SERVICE</t>
  </si>
  <si>
    <t>PRIMARY CONNECTION BETWEEN URBAN CENTERS</t>
  </si>
  <si>
    <t>IMPROVED FREQUENCY STEPS ABOVE BASED ON LOADS</t>
  </si>
  <si>
    <t>187</t>
  </si>
  <si>
    <t>901DART</t>
  </si>
  <si>
    <t>183</t>
  </si>
  <si>
    <t>153</t>
  </si>
  <si>
    <t>149</t>
  </si>
  <si>
    <t>139</t>
  </si>
  <si>
    <t>156</t>
  </si>
  <si>
    <t>155</t>
  </si>
  <si>
    <t>908DART</t>
  </si>
  <si>
    <t>909DART</t>
  </si>
  <si>
    <t>51</t>
  </si>
  <si>
    <t>39</t>
  </si>
  <si>
    <t>9EX</t>
  </si>
  <si>
    <t>27</t>
  </si>
  <si>
    <t>209</t>
  </si>
  <si>
    <t>233</t>
  </si>
  <si>
    <t>249</t>
  </si>
  <si>
    <t>251</t>
  </si>
  <si>
    <t>935DART</t>
  </si>
  <si>
    <t>25</t>
  </si>
  <si>
    <t>73EX</t>
  </si>
  <si>
    <t>71EX</t>
  </si>
  <si>
    <t>68</t>
  </si>
  <si>
    <t>28</t>
  </si>
  <si>
    <t>5</t>
  </si>
  <si>
    <t>SERVICE INCREASE WARRANTS</t>
  </si>
  <si>
    <t>COST RECOVERY</t>
  </si>
  <si>
    <t xml:space="preserve">NIGHT SERVICE </t>
  </si>
  <si>
    <t>OFF PEAK</t>
  </si>
  <si>
    <t>PRIMARY CONNECTION BETWEEN ACTIVITY CENTERS</t>
  </si>
  <si>
    <t>Signup</t>
  </si>
  <si>
    <t>RoutePartKeyType</t>
  </si>
  <si>
    <t>Route</t>
  </si>
  <si>
    <t>Part</t>
  </si>
  <si>
    <t>KeyType</t>
  </si>
  <si>
    <t>Adjustment</t>
  </si>
  <si>
    <t>Rides/PlatHr</t>
  </si>
  <si>
    <t>EXISTING FREQ</t>
  </si>
  <si>
    <t>STEP ONE FREQ</t>
  </si>
  <si>
    <t>ADJ. rides/plat hr</t>
  </si>
  <si>
    <t>ZoneFare</t>
  </si>
  <si>
    <t>N</t>
  </si>
  <si>
    <t xml:space="preserve"> </t>
  </si>
  <si>
    <t>One-Zone</t>
  </si>
  <si>
    <t>S</t>
  </si>
  <si>
    <t>TB</t>
  </si>
  <si>
    <t>EX</t>
  </si>
  <si>
    <t>Two-Zone</t>
  </si>
  <si>
    <t>TEX</t>
  </si>
  <si>
    <t>SH</t>
  </si>
  <si>
    <t>W</t>
  </si>
  <si>
    <t>DART</t>
  </si>
  <si>
    <t>Night</t>
  </si>
  <si>
    <t>1 factor fully allocated cost</t>
  </si>
  <si>
    <t>Time Period</t>
  </si>
  <si>
    <t>In order to justify more service:</t>
  </si>
  <si>
    <t>Rev/rider</t>
  </si>
  <si>
    <t>Peak (1 zone)</t>
  </si>
  <si>
    <t>You must cover 100% of your platform service cost:</t>
  </si>
  <si>
    <t>Which translates into a productivity of:</t>
  </si>
  <si>
    <t>Peak (2 zone)</t>
  </si>
  <si>
    <t>You must cover 50% of your platform service cost:</t>
  </si>
  <si>
    <t>Off Peak</t>
  </si>
  <si>
    <t>You must cover 33% of your platform service cost:</t>
  </si>
  <si>
    <t>Add Night (30 min)</t>
  </si>
  <si>
    <t>You must cover 16% of your platform service cost:</t>
  </si>
  <si>
    <t>Add Night (60 min)</t>
  </si>
  <si>
    <t>You must cover 8% of your platform service cost:</t>
  </si>
  <si>
    <t>Rtkey</t>
  </si>
  <si>
    <t>SignRt</t>
  </si>
  <si>
    <t>41</t>
  </si>
  <si>
    <t>255</t>
  </si>
  <si>
    <t>120</t>
  </si>
  <si>
    <t>36</t>
  </si>
  <si>
    <t>4S</t>
  </si>
  <si>
    <t>358EX</t>
  </si>
  <si>
    <t>125TB</t>
  </si>
  <si>
    <t>4N</t>
  </si>
  <si>
    <t>3N</t>
  </si>
  <si>
    <t>101</t>
  </si>
  <si>
    <t>271</t>
  </si>
  <si>
    <t>16</t>
  </si>
  <si>
    <t>372EX</t>
  </si>
  <si>
    <t>234</t>
  </si>
  <si>
    <t>3S</t>
  </si>
  <si>
    <t>44</t>
  </si>
  <si>
    <t>48N</t>
  </si>
  <si>
    <t>54</t>
  </si>
  <si>
    <t>106</t>
  </si>
  <si>
    <t>18</t>
  </si>
  <si>
    <t>48S</t>
  </si>
  <si>
    <t>2S</t>
  </si>
  <si>
    <t>10</t>
  </si>
  <si>
    <t>7TB</t>
  </si>
  <si>
    <t>15</t>
  </si>
  <si>
    <t>12</t>
  </si>
  <si>
    <t>5ALT</t>
  </si>
  <si>
    <t>66EX</t>
  </si>
  <si>
    <t>72EX</t>
  </si>
  <si>
    <t>248</t>
  </si>
  <si>
    <t>17</t>
  </si>
  <si>
    <t>222</t>
  </si>
  <si>
    <t>26</t>
  </si>
  <si>
    <t>3STB</t>
  </si>
  <si>
    <t>75</t>
  </si>
  <si>
    <t>1</t>
  </si>
  <si>
    <t>70</t>
  </si>
  <si>
    <t>33</t>
  </si>
  <si>
    <t>55</t>
  </si>
  <si>
    <t>60</t>
  </si>
  <si>
    <t>31</t>
  </si>
  <si>
    <t>168</t>
  </si>
  <si>
    <t>331</t>
  </si>
  <si>
    <t>11</t>
  </si>
  <si>
    <t>13</t>
  </si>
  <si>
    <t>131TB</t>
  </si>
  <si>
    <t>2N</t>
  </si>
  <si>
    <t>43</t>
  </si>
  <si>
    <t>245</t>
  </si>
  <si>
    <t>180</t>
  </si>
  <si>
    <t>169</t>
  </si>
  <si>
    <t>4NNT</t>
  </si>
  <si>
    <t>30</t>
  </si>
  <si>
    <t>14N</t>
  </si>
  <si>
    <t>194</t>
  </si>
  <si>
    <t>132TB</t>
  </si>
  <si>
    <t>24</t>
  </si>
  <si>
    <t>107</t>
  </si>
  <si>
    <t>348</t>
  </si>
  <si>
    <t>67</t>
  </si>
  <si>
    <t>49</t>
  </si>
  <si>
    <t>128</t>
  </si>
  <si>
    <t>230E</t>
  </si>
  <si>
    <t>14S</t>
  </si>
  <si>
    <t>132</t>
  </si>
  <si>
    <t>221</t>
  </si>
  <si>
    <t>253</t>
  </si>
  <si>
    <t>65</t>
  </si>
  <si>
    <t>148</t>
  </si>
  <si>
    <t>174SH</t>
  </si>
  <si>
    <t>903DART</t>
  </si>
  <si>
    <t>240</t>
  </si>
  <si>
    <t>75TN</t>
  </si>
  <si>
    <t>921</t>
  </si>
  <si>
    <t>8</t>
  </si>
  <si>
    <t>150TB</t>
  </si>
  <si>
    <t>12TB</t>
  </si>
  <si>
    <t>21</t>
  </si>
  <si>
    <t>118TB</t>
  </si>
  <si>
    <t>105</t>
  </si>
  <si>
    <t>347</t>
  </si>
  <si>
    <t>164</t>
  </si>
  <si>
    <t>166</t>
  </si>
  <si>
    <t>345</t>
  </si>
  <si>
    <t>915</t>
  </si>
  <si>
    <t>43SH</t>
  </si>
  <si>
    <t>22</t>
  </si>
  <si>
    <t>125</t>
  </si>
  <si>
    <t>346</t>
  </si>
  <si>
    <t>917DART</t>
  </si>
  <si>
    <t>23</t>
  </si>
  <si>
    <t>124</t>
  </si>
  <si>
    <t>73</t>
  </si>
  <si>
    <t>236</t>
  </si>
  <si>
    <t>238</t>
  </si>
  <si>
    <t>927DART</t>
  </si>
  <si>
    <t>929</t>
  </si>
  <si>
    <t>331TB</t>
  </si>
  <si>
    <t>181</t>
  </si>
  <si>
    <t>118</t>
  </si>
  <si>
    <t>919DART</t>
  </si>
  <si>
    <t>926DART</t>
  </si>
  <si>
    <t>72</t>
  </si>
  <si>
    <t>230W</t>
  </si>
  <si>
    <t>200</t>
  </si>
  <si>
    <t>140</t>
  </si>
  <si>
    <t>203</t>
  </si>
  <si>
    <t>182</t>
  </si>
  <si>
    <t>194TB</t>
  </si>
  <si>
    <t>42</t>
  </si>
  <si>
    <t>99</t>
  </si>
  <si>
    <t>204</t>
  </si>
  <si>
    <t>53</t>
  </si>
  <si>
    <t>38</t>
  </si>
  <si>
    <t>913DART</t>
  </si>
  <si>
    <t>** -- Service added in Feb 2010 to routes 107 and 60</t>
  </si>
  <si>
    <t>916DART</t>
  </si>
  <si>
    <t>7</t>
  </si>
  <si>
    <t>914DART</t>
  </si>
  <si>
    <t>46</t>
  </si>
  <si>
    <t>119SH</t>
  </si>
  <si>
    <t>** -- Service added in Feb 2010 to Route 60</t>
  </si>
  <si>
    <t>73TEX</t>
  </si>
  <si>
    <t>60TB</t>
  </si>
  <si>
    <t>14SSH</t>
  </si>
  <si>
    <t>15TB</t>
  </si>
  <si>
    <t>925DART</t>
  </si>
  <si>
    <t>131</t>
  </si>
  <si>
    <t>18TB</t>
  </si>
  <si>
    <t>56</t>
  </si>
  <si>
    <t>7SH</t>
  </si>
  <si>
    <t>213</t>
  </si>
  <si>
    <t>36SH</t>
  </si>
  <si>
    <t>49SH</t>
  </si>
  <si>
    <t>912</t>
  </si>
  <si>
    <t>10SH</t>
  </si>
  <si>
    <t>1 or 2 Zone</t>
  </si>
  <si>
    <t>269</t>
  </si>
  <si>
    <t>291DART</t>
  </si>
  <si>
    <t>Formulas</t>
  </si>
  <si>
    <t>373EX</t>
  </si>
  <si>
    <t>330</t>
  </si>
  <si>
    <t>N/A</t>
  </si>
  <si>
    <t>Cost Recovery Thresholds</t>
  </si>
  <si>
    <t>Overcrowding Thresholds</t>
  </si>
  <si>
    <t>Step Increase</t>
  </si>
  <si>
    <t>NIGHT (30/60)</t>
  </si>
  <si>
    <t>NIGHT (STEPS)</t>
  </si>
  <si>
    <t>COST RECOVERY BASIS (8%/16%)</t>
  </si>
  <si>
    <t>ADD WHAT FREQUENCY NIGHT SERVICE?</t>
  </si>
  <si>
    <t>Newcastle</t>
  </si>
  <si>
    <t>Corridor Scores for Serving as Primary Connection Between….</t>
  </si>
  <si>
    <t>Highline Spec Center</t>
  </si>
  <si>
    <t>Highline CC</t>
  </si>
  <si>
    <t>Four Corners</t>
  </si>
  <si>
    <t>Covington</t>
  </si>
  <si>
    <t>Renton Tech</t>
  </si>
  <si>
    <t>North City</t>
  </si>
  <si>
    <t>Duvall</t>
  </si>
  <si>
    <t>Woodinville</t>
  </si>
  <si>
    <t>30TB</t>
  </si>
  <si>
    <t>RAPIDRIDE</t>
  </si>
  <si>
    <t>YES</t>
  </si>
  <si>
    <t>EXISTING LEVEL OF SERVICE NUMERIC</t>
  </si>
  <si>
    <t>SUGGESTED LEVEL OF SERVICE NUMERIC</t>
  </si>
  <si>
    <t>OVERSERVED (POSITIVES)/ UNDERSERVED (NEGATIVES) CORRIDOR</t>
  </si>
  <si>
    <t>71</t>
  </si>
  <si>
    <t>Cowen Park/Wedgwood</t>
  </si>
  <si>
    <t>L</t>
  </si>
  <si>
    <t>Broadview to Fremont</t>
  </si>
  <si>
    <t>28l</t>
  </si>
  <si>
    <t>Shoreline CC to Greenwood</t>
  </si>
  <si>
    <t>5l</t>
  </si>
  <si>
    <t>Shoreline CC Greenwood</t>
  </si>
  <si>
    <t>l</t>
  </si>
  <si>
    <t>271EB</t>
  </si>
  <si>
    <t>EB</t>
  </si>
  <si>
    <t>Bellevue to Eastgate and Eastgate to Issaquah</t>
  </si>
  <si>
    <t>FINAL SUGGESTED SERVICE LEVELS</t>
  </si>
  <si>
    <t>SERVICE LEVEL ADJUSTMENTS (STEP IMPROVEMENTS)</t>
  </si>
  <si>
    <t>LOADS AT STEP 1 FREQUENCY</t>
  </si>
  <si>
    <t>Activity Center 1</t>
  </si>
  <si>
    <t>&lt;15</t>
  </si>
  <si>
    <t>16-30</t>
  </si>
  <si>
    <t>31-59</t>
  </si>
  <si>
    <t>&gt;59</t>
  </si>
  <si>
    <t>NONE</t>
  </si>
  <si>
    <t>Numeric Service Levels</t>
  </si>
  <si>
    <t>Uptown</t>
  </si>
  <si>
    <t>RESULTING SERVICE FAMILY</t>
  </si>
  <si>
    <t>Rt Used for Min/LI</t>
  </si>
  <si>
    <t>9E</t>
  </si>
  <si>
    <t>16L</t>
  </si>
  <si>
    <t>41L</t>
  </si>
  <si>
    <t>70L</t>
  </si>
  <si>
    <t>71L</t>
  </si>
  <si>
    <t>75L</t>
  </si>
  <si>
    <t>101L</t>
  </si>
  <si>
    <t>105L</t>
  </si>
  <si>
    <t>106L</t>
  </si>
  <si>
    <t>107L</t>
  </si>
  <si>
    <t>118L</t>
  </si>
  <si>
    <t>120L</t>
  </si>
  <si>
    <t>124L</t>
  </si>
  <si>
    <t>125L</t>
  </si>
  <si>
    <t>128L</t>
  </si>
  <si>
    <t>148L</t>
  </si>
  <si>
    <t>149L</t>
  </si>
  <si>
    <t>150L</t>
  </si>
  <si>
    <t>153L</t>
  </si>
  <si>
    <t>155L</t>
  </si>
  <si>
    <t>156L</t>
  </si>
  <si>
    <t>164L</t>
  </si>
  <si>
    <t>168L</t>
  </si>
  <si>
    <t>169L</t>
  </si>
  <si>
    <t>180L</t>
  </si>
  <si>
    <t>181L</t>
  </si>
  <si>
    <t>182L</t>
  </si>
  <si>
    <t>183L</t>
  </si>
  <si>
    <t>186L</t>
  </si>
  <si>
    <t>187L</t>
  </si>
  <si>
    <t>204L</t>
  </si>
  <si>
    <t>209L</t>
  </si>
  <si>
    <t>221L</t>
  </si>
  <si>
    <t>222L</t>
  </si>
  <si>
    <t>224L</t>
  </si>
  <si>
    <t>233L</t>
  </si>
  <si>
    <t>234L</t>
  </si>
  <si>
    <t>236L</t>
  </si>
  <si>
    <t>238L</t>
  </si>
  <si>
    <t>240L</t>
  </si>
  <si>
    <t>245L</t>
  </si>
  <si>
    <t>246L</t>
  </si>
  <si>
    <t>248L</t>
  </si>
  <si>
    <t>249L</t>
  </si>
  <si>
    <t>251L</t>
  </si>
  <si>
    <t>255L</t>
  </si>
  <si>
    <t>269L</t>
  </si>
  <si>
    <t>271L</t>
  </si>
  <si>
    <t>330L</t>
  </si>
  <si>
    <t>331L</t>
  </si>
  <si>
    <t>345L</t>
  </si>
  <si>
    <t>346L</t>
  </si>
  <si>
    <t>347L</t>
  </si>
  <si>
    <t>348L</t>
  </si>
  <si>
    <t>373E</t>
  </si>
  <si>
    <t>901L</t>
  </si>
  <si>
    <t>903L</t>
  </si>
  <si>
    <t>908L</t>
  </si>
  <si>
    <t>909L</t>
  </si>
  <si>
    <t>917L</t>
  </si>
  <si>
    <t>930L</t>
  </si>
  <si>
    <t>935L</t>
  </si>
  <si>
    <t>131L</t>
  </si>
  <si>
    <t>166L</t>
  </si>
  <si>
    <t>132L</t>
  </si>
  <si>
    <t>14SL</t>
  </si>
  <si>
    <t>2SL</t>
  </si>
  <si>
    <t>230WL</t>
  </si>
  <si>
    <t>3NL</t>
  </si>
  <si>
    <t>3SL</t>
  </si>
  <si>
    <t>372E</t>
  </si>
  <si>
    <t>48NL</t>
  </si>
  <si>
    <t>48SL</t>
  </si>
  <si>
    <t>73E</t>
  </si>
  <si>
    <t>671L</t>
  </si>
  <si>
    <t>230EL</t>
  </si>
  <si>
    <t>358E</t>
  </si>
  <si>
    <t>140L</t>
  </si>
  <si>
    <t>Ballard-Interbay MIC</t>
  </si>
  <si>
    <t>Total Households</t>
  </si>
  <si>
    <t>Total Jobs</t>
  </si>
  <si>
    <t>HH/Corridor Mi</t>
  </si>
  <si>
    <t>Jobs/CorridorMi</t>
  </si>
  <si>
    <t>SandPoint - U.District</t>
  </si>
  <si>
    <t>COST RECOVERY AT STEP 1 FREQUENCY</t>
  </si>
  <si>
    <t>Cost Recovery</t>
  </si>
  <si>
    <t>Peak</t>
  </si>
  <si>
    <t>CORRIDOR HAS 15 MIN PEAK SERVICE</t>
  </si>
  <si>
    <t>Load Factor</t>
  </si>
  <si>
    <t>All Inbound Ons</t>
  </si>
  <si>
    <t>All Inbound Ons in Minority Tracts</t>
  </si>
  <si>
    <t>All Inbound Ons in Low-Income Tracts</t>
  </si>
  <si>
    <t>Threshold</t>
  </si>
  <si>
    <t>IMPROVED FREQUENCY STEPS ABOVE BASED ON COST RECOVERY</t>
  </si>
  <si>
    <t>Route Key1 Load Peak</t>
  </si>
  <si>
    <t>Route Key 2 Load Peak</t>
  </si>
  <si>
    <t>Route Key1  Load OffPeak</t>
  </si>
  <si>
    <r>
      <t>Route Key 2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Load OffPeak</t>
    </r>
  </si>
  <si>
    <t>Route Key1 Cost Recovery Peak</t>
  </si>
  <si>
    <t>Route Key 2 Cost Recovery Peak</t>
  </si>
  <si>
    <t>Route Key1 Cost Recovery OffPeak</t>
  </si>
  <si>
    <t>Route Key 2 Cost Recovery OffPeak</t>
  </si>
  <si>
    <t>Route Key1 Cost Recovery Night</t>
  </si>
  <si>
    <t>Route Key 2 Cost Recovery Night</t>
  </si>
  <si>
    <t>Notes</t>
  </si>
  <si>
    <t>Existing Frequency</t>
  </si>
  <si>
    <t>Step One Frequency</t>
  </si>
  <si>
    <t>Fremont to Broadview</t>
  </si>
  <si>
    <t>Corridor Length</t>
  </si>
  <si>
    <t>% Boarding in Minority Tracts</t>
  </si>
  <si>
    <t>% Boardings in Low-Income Tracts</t>
  </si>
  <si>
    <t>STEP ONE</t>
  </si>
  <si>
    <t>STEP TWO</t>
  </si>
  <si>
    <t>Land Use - Productivity</t>
  </si>
  <si>
    <t>Social Equity - Demographics</t>
  </si>
  <si>
    <t>Geographic Value - Primary Connections</t>
  </si>
  <si>
    <t>AVG MAX LOAD AT STEP ONE FREQUENCY</t>
  </si>
  <si>
    <t>BOARDINGS/HOUR AT STEP ONE FREQUENCY</t>
  </si>
  <si>
    <t>Rank Order</t>
  </si>
  <si>
    <t>Corridor_ID</t>
  </si>
  <si>
    <t>Avg Max Load</t>
  </si>
  <si>
    <t>Adj Avg Max Load Factor</t>
  </si>
  <si>
    <t>Adj. Avg. Max Load Factor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</si>
</sst>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  <numFmt numFmtId="167" formatCode="m/d/yy"/>
    <numFmt numFmtId="168" formatCode="m/d/yy\ h:mm"/>
    <numFmt numFmtId="169" formatCode="0.0%"/>
    <numFmt numFmtId="170" formatCode="&quot;$&quot;#,##0"/>
    <numFmt numFmtId="171" formatCode="0.00;[Red]0.00"/>
    <numFmt numFmtId="172" formatCode="0.00_);[Red]\(0.00\)"/>
    <numFmt numFmtId="173" formatCode="#,##0.0"/>
    <numFmt numFmtId="174" formatCode="&quot;$&quot;#,##0.000_);[Red]\(&quot;$&quot;#,##0.000\)"/>
    <numFmt numFmtId="175" formatCode="_(* #,##0.0_);_(* \(#,##0.0\);_(* &quot;-&quot;??_);_(@_)"/>
    <numFmt numFmtId="176" formatCode="0.00000000"/>
    <numFmt numFmtId="177" formatCode="_(* #,##0.000_);_(* \(#,##0.000\);_(* &quot;-&quot;??_);_(@_)"/>
    <numFmt numFmtId="178" formatCode="_(* #,##0.0000_);_(* \(#,##0.0000\);_(* &quot;-&quot;??_);_(@_)"/>
    <numFmt numFmtId="179" formatCode="0.00000"/>
    <numFmt numFmtId="180" formatCode="0.0000"/>
    <numFmt numFmtId="181" formatCode="0.000000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color indexed="8"/>
      <name val="Arial"/>
      <family val="0"/>
    </font>
    <font>
      <b/>
      <sz val="10"/>
      <name val="Helv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1" fontId="0" fillId="0" borderId="0" xfId="42" applyNumberFormat="1" applyAlignment="1">
      <alignment horizontal="center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3" xfId="42" applyNumberFormat="1" applyFont="1" applyFill="1" applyBorder="1" applyAlignment="1">
      <alignment horizontal="center"/>
    </xf>
    <xf numFmtId="1" fontId="0" fillId="0" borderId="13" xfId="42" applyNumberFormat="1" applyFont="1" applyFill="1" applyBorder="1" applyAlignment="1" quotePrefix="1">
      <alignment horizontal="center"/>
    </xf>
    <xf numFmtId="1" fontId="0" fillId="0" borderId="13" xfId="42" applyNumberFormat="1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42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0" xfId="0" applyFont="1" applyAlignment="1">
      <alignment/>
    </xf>
    <xf numFmtId="1" fontId="0" fillId="0" borderId="22" xfId="42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24" xfId="42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3" xfId="42" applyNumberFormat="1" applyFill="1" applyBorder="1" applyAlignment="1">
      <alignment horizontal="center"/>
    </xf>
    <xf numFmtId="1" fontId="0" fillId="0" borderId="23" xfId="42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24" xfId="42" applyNumberFormat="1" applyFont="1" applyFill="1" applyBorder="1" applyAlignment="1">
      <alignment horizontal="center"/>
    </xf>
    <xf numFmtId="1" fontId="0" fillId="0" borderId="22" xfId="42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5" xfId="42" applyNumberFormat="1" applyFill="1" applyBorder="1" applyAlignment="1">
      <alignment horizontal="center"/>
    </xf>
    <xf numFmtId="1" fontId="0" fillId="0" borderId="18" xfId="42" applyNumberFormat="1" applyFill="1" applyBorder="1" applyAlignment="1">
      <alignment horizontal="center"/>
    </xf>
    <xf numFmtId="1" fontId="0" fillId="0" borderId="13" xfId="42" applyNumberFormat="1" applyBorder="1" applyAlignment="1">
      <alignment horizontal="center"/>
    </xf>
    <xf numFmtId="1" fontId="0" fillId="0" borderId="0" xfId="0" applyNumberFormat="1" applyAlignment="1">
      <alignment horizontal="center" wrapText="1"/>
    </xf>
    <xf numFmtId="1" fontId="0" fillId="0" borderId="13" xfId="0" applyNumberForma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0" fillId="0" borderId="15" xfId="42" applyNumberFormat="1" applyFill="1" applyBorder="1" applyAlignment="1">
      <alignment horizontal="center"/>
    </xf>
    <xf numFmtId="3" fontId="0" fillId="0" borderId="14" xfId="42" applyNumberFormat="1" applyBorder="1" applyAlignment="1">
      <alignment horizontal="center"/>
    </xf>
    <xf numFmtId="1" fontId="0" fillId="0" borderId="15" xfId="42" applyNumberFormat="1" applyBorder="1" applyAlignment="1">
      <alignment horizontal="center"/>
    </xf>
    <xf numFmtId="3" fontId="0" fillId="0" borderId="14" xfId="42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1" fontId="2" fillId="0" borderId="2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ill="1" applyBorder="1" applyAlignment="1">
      <alignment horizontal="center" textRotation="90" wrapText="1"/>
    </xf>
    <xf numFmtId="43" fontId="0" fillId="0" borderId="26" xfId="42" applyFont="1" applyFill="1" applyBorder="1" applyAlignment="1">
      <alignment horizontal="center" textRotation="90" wrapText="1"/>
    </xf>
    <xf numFmtId="43" fontId="0" fillId="0" borderId="27" xfId="42" applyFont="1" applyFill="1" applyBorder="1" applyAlignment="1">
      <alignment horizontal="center" textRotation="90" wrapText="1"/>
    </xf>
    <xf numFmtId="43" fontId="0" fillId="0" borderId="28" xfId="42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1" fontId="0" fillId="0" borderId="0" xfId="42" applyNumberFormat="1" applyFont="1" applyFill="1" applyBorder="1" applyAlignment="1">
      <alignment horizontal="center" textRotation="90"/>
    </xf>
    <xf numFmtId="1" fontId="0" fillId="0" borderId="0" xfId="42" applyNumberFormat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5" fillId="0" borderId="0" xfId="59">
      <alignment/>
      <protection/>
    </xf>
    <xf numFmtId="164" fontId="7" fillId="33" borderId="13" xfId="59" applyNumberFormat="1" applyFont="1" applyFill="1" applyBorder="1" applyAlignment="1">
      <alignment horizontal="left"/>
      <protection/>
    </xf>
    <xf numFmtId="0" fontId="7" fillId="33" borderId="13" xfId="59" applyFont="1" applyFill="1" applyBorder="1" applyAlignment="1">
      <alignment horizontal="left"/>
      <protection/>
    </xf>
    <xf numFmtId="2" fontId="7" fillId="33" borderId="13" xfId="59" applyNumberFormat="1" applyFont="1" applyFill="1" applyBorder="1" applyAlignment="1">
      <alignment horizontal="left"/>
      <protection/>
    </xf>
    <xf numFmtId="2" fontId="7" fillId="34" borderId="13" xfId="59" applyNumberFormat="1" applyFont="1" applyFill="1" applyBorder="1" applyAlignment="1">
      <alignment horizontal="left"/>
      <protection/>
    </xf>
    <xf numFmtId="3" fontId="7" fillId="33" borderId="13" xfId="44" applyNumberFormat="1" applyFont="1" applyFill="1" applyBorder="1" applyAlignment="1">
      <alignment horizontal="left"/>
    </xf>
    <xf numFmtId="164" fontId="5" fillId="0" borderId="0" xfId="59" applyNumberFormat="1">
      <alignment/>
      <protection/>
    </xf>
    <xf numFmtId="2" fontId="5" fillId="0" borderId="0" xfId="59" applyNumberFormat="1">
      <alignment/>
      <protection/>
    </xf>
    <xf numFmtId="2" fontId="5" fillId="34" borderId="0" xfId="59" applyNumberFormat="1" applyFill="1">
      <alignment/>
      <protection/>
    </xf>
    <xf numFmtId="3" fontId="5" fillId="0" borderId="0" xfId="44" applyNumberFormat="1" applyAlignment="1">
      <alignment/>
    </xf>
    <xf numFmtId="4" fontId="5" fillId="0" borderId="0" xfId="59" applyNumberFormat="1">
      <alignment/>
      <protection/>
    </xf>
    <xf numFmtId="0" fontId="5" fillId="0" borderId="0" xfId="59" applyBorder="1">
      <alignment/>
      <protection/>
    </xf>
    <xf numFmtId="164" fontId="5" fillId="0" borderId="0" xfId="59" applyNumberFormat="1" applyBorder="1">
      <alignment/>
      <protection/>
    </xf>
    <xf numFmtId="2" fontId="5" fillId="0" borderId="0" xfId="59" applyNumberFormat="1" applyBorder="1">
      <alignment/>
      <protection/>
    </xf>
    <xf numFmtId="2" fontId="5" fillId="34" borderId="0" xfId="59" applyNumberFormat="1" applyFill="1" applyBorder="1">
      <alignment/>
      <protection/>
    </xf>
    <xf numFmtId="3" fontId="5" fillId="0" borderId="0" xfId="44" applyNumberFormat="1" applyBorder="1" applyAlignment="1">
      <alignment/>
    </xf>
    <xf numFmtId="4" fontId="5" fillId="0" borderId="0" xfId="59" applyNumberFormat="1" applyBorder="1">
      <alignment/>
      <protection/>
    </xf>
    <xf numFmtId="8" fontId="5" fillId="0" borderId="13" xfId="59" applyNumberFormat="1" applyBorder="1">
      <alignment/>
      <protection/>
    </xf>
    <xf numFmtId="8" fontId="5" fillId="0" borderId="0" xfId="59" applyNumberFormat="1">
      <alignment/>
      <protection/>
    </xf>
    <xf numFmtId="0" fontId="6" fillId="35" borderId="29" xfId="60" applyFont="1" applyFill="1" applyBorder="1" applyAlignment="1">
      <alignment horizontal="center"/>
      <protection/>
    </xf>
    <xf numFmtId="2" fontId="6" fillId="35" borderId="29" xfId="60" applyNumberFormat="1" applyFont="1" applyFill="1" applyBorder="1" applyAlignment="1">
      <alignment horizontal="center"/>
      <protection/>
    </xf>
    <xf numFmtId="2" fontId="7" fillId="34" borderId="30" xfId="59" applyNumberFormat="1" applyFont="1" applyFill="1" applyBorder="1" applyAlignment="1">
      <alignment horizontal="left"/>
      <protection/>
    </xf>
    <xf numFmtId="2" fontId="6" fillId="35" borderId="0" xfId="60" applyNumberFormat="1" applyFont="1" applyFill="1" applyBorder="1" applyAlignment="1">
      <alignment horizontal="center"/>
      <protection/>
    </xf>
    <xf numFmtId="0" fontId="0" fillId="0" borderId="0" xfId="61">
      <alignment/>
      <protection/>
    </xf>
    <xf numFmtId="0" fontId="6" fillId="0" borderId="31" xfId="60" applyFont="1" applyFill="1" applyBorder="1" applyAlignment="1">
      <alignment wrapText="1"/>
      <protection/>
    </xf>
    <xf numFmtId="0" fontId="6" fillId="0" borderId="31" xfId="60" applyFont="1" applyFill="1" applyBorder="1" applyAlignment="1">
      <alignment horizontal="right" wrapText="1"/>
      <protection/>
    </xf>
    <xf numFmtId="2" fontId="6" fillId="0" borderId="31" xfId="60" applyNumberFormat="1" applyFont="1" applyFill="1" applyBorder="1" applyAlignment="1">
      <alignment horizontal="center" wrapText="1"/>
      <protection/>
    </xf>
    <xf numFmtId="2" fontId="6" fillId="0" borderId="0" xfId="60" applyNumberFormat="1" applyFont="1" applyFill="1" applyBorder="1" applyAlignment="1">
      <alignment horizontal="center" wrapText="1"/>
      <protection/>
    </xf>
    <xf numFmtId="2" fontId="6" fillId="36" borderId="0" xfId="60" applyNumberFormat="1" applyFont="1" applyFill="1" applyBorder="1" applyAlignment="1">
      <alignment horizontal="center" wrapText="1"/>
      <protection/>
    </xf>
    <xf numFmtId="0" fontId="6" fillId="0" borderId="32" xfId="60" applyFont="1" applyFill="1" applyBorder="1" applyAlignment="1">
      <alignment wrapText="1"/>
      <protection/>
    </xf>
    <xf numFmtId="0" fontId="6" fillId="0" borderId="32" xfId="60" applyFont="1" applyFill="1" applyBorder="1" applyAlignment="1">
      <alignment horizontal="right" wrapText="1"/>
      <protection/>
    </xf>
    <xf numFmtId="2" fontId="6" fillId="0" borderId="32" xfId="60" applyNumberFormat="1" applyFont="1" applyFill="1" applyBorder="1" applyAlignment="1">
      <alignment horizontal="center" wrapText="1"/>
      <protection/>
    </xf>
    <xf numFmtId="0" fontId="6" fillId="0" borderId="0" xfId="60" applyFont="1" applyFill="1" applyBorder="1" applyAlignment="1">
      <alignment wrapText="1"/>
      <protection/>
    </xf>
    <xf numFmtId="0" fontId="6" fillId="0" borderId="0" xfId="60" applyFont="1" applyFill="1" applyBorder="1" applyAlignment="1">
      <alignment horizontal="right" wrapText="1"/>
      <protection/>
    </xf>
    <xf numFmtId="0" fontId="6" fillId="0" borderId="31" xfId="60" applyFont="1" applyFill="1" applyBorder="1" applyAlignment="1" quotePrefix="1">
      <alignment wrapText="1"/>
      <protection/>
    </xf>
    <xf numFmtId="0" fontId="0" fillId="0" borderId="0" xfId="61" applyFont="1">
      <alignment/>
      <protection/>
    </xf>
    <xf numFmtId="2" fontId="0" fillId="0" borderId="0" xfId="61" applyNumberFormat="1" applyAlignment="1">
      <alignment horizontal="center"/>
      <protection/>
    </xf>
    <xf numFmtId="2" fontId="0" fillId="34" borderId="0" xfId="61" applyNumberFormat="1" applyFill="1" applyAlignment="1">
      <alignment horizontal="center"/>
      <protection/>
    </xf>
    <xf numFmtId="0" fontId="6" fillId="35" borderId="29" xfId="62" applyFont="1" applyFill="1" applyBorder="1" applyAlignment="1">
      <alignment horizontal="center"/>
      <protection/>
    </xf>
    <xf numFmtId="2" fontId="6" fillId="35" borderId="29" xfId="62" applyNumberFormat="1" applyFont="1" applyFill="1" applyBorder="1" applyAlignment="1">
      <alignment horizontal="center"/>
      <protection/>
    </xf>
    <xf numFmtId="0" fontId="6" fillId="0" borderId="31" xfId="62" applyFont="1" applyFill="1" applyBorder="1" applyAlignment="1">
      <alignment wrapText="1"/>
      <protection/>
    </xf>
    <xf numFmtId="0" fontId="6" fillId="0" borderId="31" xfId="62" applyFont="1" applyFill="1" applyBorder="1" applyAlignment="1">
      <alignment horizontal="right" wrapText="1"/>
      <protection/>
    </xf>
    <xf numFmtId="2" fontId="6" fillId="0" borderId="31" xfId="62" applyNumberFormat="1" applyFont="1" applyFill="1" applyBorder="1" applyAlignment="1">
      <alignment horizontal="center" wrapText="1"/>
      <protection/>
    </xf>
    <xf numFmtId="2" fontId="6" fillId="0" borderId="33" xfId="62" applyNumberFormat="1" applyFont="1" applyFill="1" applyBorder="1" applyAlignment="1">
      <alignment horizontal="center" wrapText="1"/>
      <protection/>
    </xf>
    <xf numFmtId="0" fontId="6" fillId="0" borderId="32" xfId="62" applyFont="1" applyFill="1" applyBorder="1" applyAlignment="1">
      <alignment wrapText="1"/>
      <protection/>
    </xf>
    <xf numFmtId="0" fontId="6" fillId="0" borderId="32" xfId="62" applyFont="1" applyFill="1" applyBorder="1" applyAlignment="1">
      <alignment horizontal="right" wrapText="1"/>
      <protection/>
    </xf>
    <xf numFmtId="2" fontId="6" fillId="0" borderId="32" xfId="62" applyNumberFormat="1" applyFont="1" applyFill="1" applyBorder="1" applyAlignment="1">
      <alignment horizontal="center" wrapText="1"/>
      <protection/>
    </xf>
    <xf numFmtId="0" fontId="6" fillId="0" borderId="31" xfId="62" applyFont="1" applyFill="1" applyBorder="1" applyAlignment="1" quotePrefix="1">
      <alignment wrapText="1"/>
      <protection/>
    </xf>
    <xf numFmtId="0" fontId="6" fillId="35" borderId="29" xfId="63" applyFont="1" applyFill="1" applyBorder="1" applyAlignment="1">
      <alignment horizontal="center"/>
      <protection/>
    </xf>
    <xf numFmtId="2" fontId="6" fillId="35" borderId="29" xfId="63" applyNumberFormat="1" applyFont="1" applyFill="1" applyBorder="1" applyAlignment="1">
      <alignment horizontal="center"/>
      <protection/>
    </xf>
    <xf numFmtId="0" fontId="0" fillId="34" borderId="0" xfId="61" applyFont="1" applyFill="1">
      <alignment/>
      <protection/>
    </xf>
    <xf numFmtId="0" fontId="6" fillId="0" borderId="31" xfId="63" applyFont="1" applyFill="1" applyBorder="1" applyAlignment="1">
      <alignment wrapText="1"/>
      <protection/>
    </xf>
    <xf numFmtId="0" fontId="6" fillId="0" borderId="31" xfId="63" applyFont="1" applyFill="1" applyBorder="1" applyAlignment="1">
      <alignment horizontal="right" wrapText="1"/>
      <protection/>
    </xf>
    <xf numFmtId="2" fontId="6" fillId="0" borderId="31" xfId="63" applyNumberFormat="1" applyFont="1" applyFill="1" applyBorder="1" applyAlignment="1">
      <alignment horizontal="right" wrapText="1"/>
      <protection/>
    </xf>
    <xf numFmtId="2" fontId="6" fillId="0" borderId="0" xfId="63" applyNumberFormat="1" applyFont="1" applyFill="1" applyBorder="1" applyAlignment="1">
      <alignment horizontal="right" wrapText="1"/>
      <protection/>
    </xf>
    <xf numFmtId="4" fontId="0" fillId="0" borderId="0" xfId="44" applyFont="1" applyAlignment="1">
      <alignment/>
    </xf>
    <xf numFmtId="4" fontId="0" fillId="34" borderId="0" xfId="44" applyFont="1" applyFill="1" applyAlignment="1">
      <alignment/>
    </xf>
    <xf numFmtId="0" fontId="6" fillId="0" borderId="34" xfId="63" applyFont="1" applyFill="1" applyBorder="1" applyAlignment="1">
      <alignment wrapText="1"/>
      <protection/>
    </xf>
    <xf numFmtId="0" fontId="6" fillId="0" borderId="34" xfId="63" applyFont="1" applyFill="1" applyBorder="1" applyAlignment="1">
      <alignment horizontal="right" wrapText="1"/>
      <protection/>
    </xf>
    <xf numFmtId="2" fontId="6" fillId="0" borderId="34" xfId="63" applyNumberFormat="1" applyFont="1" applyFill="1" applyBorder="1" applyAlignment="1">
      <alignment horizontal="right" wrapText="1"/>
      <protection/>
    </xf>
    <xf numFmtId="0" fontId="6" fillId="0" borderId="0" xfId="63" applyFont="1" applyFill="1" applyBorder="1" applyAlignment="1">
      <alignment wrapText="1"/>
      <protection/>
    </xf>
    <xf numFmtId="0" fontId="6" fillId="0" borderId="0" xfId="63" applyFont="1" applyFill="1" applyBorder="1" applyAlignment="1">
      <alignment horizontal="right" wrapText="1"/>
      <protection/>
    </xf>
    <xf numFmtId="0" fontId="0" fillId="0" borderId="0" xfId="61" applyFont="1" applyBorder="1">
      <alignment/>
      <protection/>
    </xf>
    <xf numFmtId="4" fontId="0" fillId="0" borderId="0" xfId="44" applyFont="1" applyBorder="1" applyAlignment="1">
      <alignment/>
    </xf>
    <xf numFmtId="4" fontId="0" fillId="34" borderId="0" xfId="44" applyFont="1" applyFill="1" applyBorder="1" applyAlignment="1">
      <alignment/>
    </xf>
    <xf numFmtId="0" fontId="6" fillId="0" borderId="32" xfId="63" applyFont="1" applyFill="1" applyBorder="1" applyAlignment="1">
      <alignment wrapText="1"/>
      <protection/>
    </xf>
    <xf numFmtId="0" fontId="6" fillId="0" borderId="32" xfId="63" applyFont="1" applyFill="1" applyBorder="1" applyAlignment="1">
      <alignment horizontal="right" wrapText="1"/>
      <protection/>
    </xf>
    <xf numFmtId="2" fontId="6" fillId="0" borderId="32" xfId="63" applyNumberFormat="1" applyFont="1" applyFill="1" applyBorder="1" applyAlignment="1">
      <alignment horizontal="right" wrapText="1"/>
      <protection/>
    </xf>
    <xf numFmtId="0" fontId="0" fillId="0" borderId="0" xfId="61" applyBorder="1">
      <alignment/>
      <protection/>
    </xf>
    <xf numFmtId="2" fontId="0" fillId="0" borderId="0" xfId="61" applyNumberFormat="1">
      <alignment/>
      <protection/>
    </xf>
    <xf numFmtId="0" fontId="0" fillId="34" borderId="0" xfId="61" applyFill="1">
      <alignment/>
      <protection/>
    </xf>
    <xf numFmtId="1" fontId="0" fillId="0" borderId="0" xfId="42" applyNumberFormat="1" applyAlignment="1">
      <alignment horizontal="center" wrapText="1"/>
    </xf>
    <xf numFmtId="1" fontId="0" fillId="0" borderId="13" xfId="42" applyNumberFormat="1" applyFont="1" applyBorder="1" applyAlignment="1" quotePrefix="1">
      <alignment horizontal="center"/>
    </xf>
    <xf numFmtId="1" fontId="0" fillId="0" borderId="13" xfId="0" applyNumberFormat="1" applyFill="1" applyBorder="1" applyAlignment="1" quotePrefix="1">
      <alignment horizontal="center"/>
    </xf>
    <xf numFmtId="0" fontId="0" fillId="0" borderId="13" xfId="0" applyFill="1" applyBorder="1" applyAlignment="1" quotePrefix="1">
      <alignment/>
    </xf>
    <xf numFmtId="43" fontId="0" fillId="0" borderId="13" xfId="0" applyNumberFormat="1" applyBorder="1" applyAlignment="1">
      <alignment/>
    </xf>
    <xf numFmtId="1" fontId="0" fillId="0" borderId="13" xfId="42" applyNumberFormat="1" applyFont="1" applyBorder="1" applyAlignment="1">
      <alignment horizontal="center"/>
    </xf>
    <xf numFmtId="43" fontId="0" fillId="0" borderId="1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43" fontId="0" fillId="0" borderId="0" xfId="42" applyFont="1" applyFill="1" applyBorder="1" applyAlignment="1">
      <alignment horizontal="center" textRotation="90" wrapText="1"/>
    </xf>
    <xf numFmtId="1" fontId="0" fillId="0" borderId="35" xfId="42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13" xfId="42" applyNumberFormat="1" applyFont="1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Fill="1" applyBorder="1" applyAlignment="1">
      <alignment horizontal="center" textRotation="90" wrapText="1"/>
    </xf>
    <xf numFmtId="0" fontId="0" fillId="0" borderId="13" xfId="0" applyBorder="1" applyAlignment="1" quotePrefix="1">
      <alignment/>
    </xf>
    <xf numFmtId="1" fontId="2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3" xfId="0" applyFill="1" applyBorder="1" applyAlignment="1">
      <alignment/>
    </xf>
    <xf numFmtId="1" fontId="0" fillId="0" borderId="0" xfId="42" applyNumberFormat="1" applyFont="1" applyBorder="1" applyAlignment="1">
      <alignment horizontal="center"/>
    </xf>
    <xf numFmtId="0" fontId="5" fillId="0" borderId="0" xfId="59" applyBorder="1" applyAlignment="1">
      <alignment wrapText="1"/>
      <protection/>
    </xf>
    <xf numFmtId="0" fontId="5" fillId="0" borderId="11" xfId="59" applyBorder="1" applyAlignment="1">
      <alignment wrapText="1"/>
      <protection/>
    </xf>
    <xf numFmtId="8" fontId="5" fillId="0" borderId="11" xfId="47" applyBorder="1" applyAlignment="1">
      <alignment wrapText="1"/>
    </xf>
    <xf numFmtId="8" fontId="5" fillId="0" borderId="39" xfId="47" applyBorder="1" applyAlignment="1">
      <alignment wrapText="1"/>
    </xf>
    <xf numFmtId="0" fontId="5" fillId="0" borderId="13" xfId="59" applyBorder="1" applyAlignment="1">
      <alignment wrapText="1"/>
      <protection/>
    </xf>
    <xf numFmtId="0" fontId="5" fillId="0" borderId="25" xfId="59" applyBorder="1" applyAlignment="1">
      <alignment wrapText="1"/>
      <protection/>
    </xf>
    <xf numFmtId="0" fontId="5" fillId="0" borderId="13" xfId="59" applyBorder="1" applyAlignment="1">
      <alignment horizontal="center" wrapText="1"/>
      <protection/>
    </xf>
    <xf numFmtId="8" fontId="5" fillId="0" borderId="13" xfId="59" applyNumberFormat="1" applyBorder="1" applyAlignment="1">
      <alignment wrapText="1"/>
      <protection/>
    </xf>
    <xf numFmtId="4" fontId="5" fillId="0" borderId="25" xfId="44" applyBorder="1" applyAlignment="1">
      <alignment wrapText="1"/>
    </xf>
    <xf numFmtId="0" fontId="5" fillId="0" borderId="17" xfId="59" applyBorder="1" applyAlignment="1">
      <alignment wrapText="1"/>
      <protection/>
    </xf>
    <xf numFmtId="8" fontId="5" fillId="0" borderId="17" xfId="59" applyNumberFormat="1" applyBorder="1" applyAlignment="1">
      <alignment wrapText="1"/>
      <protection/>
    </xf>
    <xf numFmtId="4" fontId="5" fillId="0" borderId="37" xfId="44" applyBorder="1" applyAlignment="1">
      <alignment wrapText="1"/>
    </xf>
    <xf numFmtId="164" fontId="0" fillId="0" borderId="16" xfId="42" applyNumberFormat="1" applyBorder="1" applyAlignment="1">
      <alignment horizontal="center"/>
    </xf>
    <xf numFmtId="0" fontId="0" fillId="0" borderId="40" xfId="0" applyBorder="1" applyAlignment="1">
      <alignment/>
    </xf>
    <xf numFmtId="164" fontId="0" fillId="0" borderId="14" xfId="42" applyNumberForma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wrapText="1"/>
    </xf>
    <xf numFmtId="8" fontId="5" fillId="0" borderId="0" xfId="47" applyBorder="1" applyAlignment="1">
      <alignment wrapText="1"/>
    </xf>
    <xf numFmtId="0" fontId="0" fillId="0" borderId="13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" fontId="0" fillId="0" borderId="30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 textRotation="90" wrapText="1"/>
    </xf>
    <xf numFmtId="0" fontId="0" fillId="0" borderId="12" xfId="0" applyFill="1" applyBorder="1" applyAlignment="1">
      <alignment horizontal="center" textRotation="90" wrapText="1"/>
    </xf>
    <xf numFmtId="0" fontId="6" fillId="0" borderId="31" xfId="63" applyFont="1" applyFill="1" applyBorder="1" applyAlignment="1" quotePrefix="1">
      <alignment wrapText="1"/>
      <protection/>
    </xf>
    <xf numFmtId="0" fontId="5" fillId="0" borderId="0" xfId="59" applyFont="1">
      <alignment/>
      <protection/>
    </xf>
    <xf numFmtId="4" fontId="5" fillId="0" borderId="0" xfId="59" applyNumberFormat="1" applyFont="1">
      <alignment/>
      <protection/>
    </xf>
    <xf numFmtId="3" fontId="0" fillId="0" borderId="41" xfId="0" applyNumberFormat="1" applyBorder="1" applyAlignment="1">
      <alignment horizontal="center"/>
    </xf>
    <xf numFmtId="3" fontId="0" fillId="0" borderId="42" xfId="42" applyNumberFormat="1" applyBorder="1" applyAlignment="1">
      <alignment horizontal="center"/>
    </xf>
    <xf numFmtId="3" fontId="0" fillId="0" borderId="43" xfId="42" applyNumberFormat="1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21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7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 textRotation="90" wrapText="1"/>
    </xf>
    <xf numFmtId="0" fontId="0" fillId="0" borderId="48" xfId="0" applyFill="1" applyBorder="1" applyAlignment="1">
      <alignment horizontal="center" textRotation="90" wrapText="1"/>
    </xf>
    <xf numFmtId="0" fontId="0" fillId="0" borderId="28" xfId="0" applyFill="1" applyBorder="1" applyAlignment="1">
      <alignment horizontal="center" textRotation="90" wrapText="1"/>
    </xf>
    <xf numFmtId="0" fontId="0" fillId="0" borderId="49" xfId="0" applyFill="1" applyBorder="1" applyAlignment="1">
      <alignment horizontal="center" textRotation="90" wrapText="1"/>
    </xf>
    <xf numFmtId="0" fontId="0" fillId="0" borderId="26" xfId="0" applyFill="1" applyBorder="1" applyAlignment="1">
      <alignment horizontal="center" textRotation="90" wrapText="1"/>
    </xf>
    <xf numFmtId="0" fontId="0" fillId="0" borderId="27" xfId="0" applyFill="1" applyBorder="1" applyAlignment="1">
      <alignment horizontal="center" textRotation="90" wrapText="1"/>
    </xf>
    <xf numFmtId="43" fontId="0" fillId="0" borderId="48" xfId="42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1" fontId="0" fillId="0" borderId="13" xfId="42" applyNumberForma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26" xfId="0" applyFont="1" applyBorder="1" applyAlignment="1">
      <alignment wrapText="1"/>
    </xf>
    <xf numFmtId="43" fontId="0" fillId="0" borderId="15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52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2" fillId="0" borderId="13" xfId="0" applyFont="1" applyFill="1" applyBorder="1" applyAlignment="1">
      <alignment horizontal="center" textRotation="90" wrapText="1"/>
    </xf>
    <xf numFmtId="165" fontId="0" fillId="0" borderId="13" xfId="42" applyNumberFormat="1" applyFont="1" applyFill="1" applyBorder="1" applyAlignment="1">
      <alignment horizontal="center"/>
    </xf>
    <xf numFmtId="0" fontId="0" fillId="0" borderId="13" xfId="42" applyNumberFormat="1" applyFill="1" applyBorder="1" applyAlignment="1">
      <alignment horizontal="center"/>
    </xf>
    <xf numFmtId="0" fontId="0" fillId="0" borderId="13" xfId="42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0" fillId="0" borderId="56" xfId="0" applyFill="1" applyBorder="1" applyAlignment="1">
      <alignment horizontal="center" textRotation="90" wrapText="1"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1" fontId="0" fillId="0" borderId="30" xfId="42" applyNumberFormat="1" applyFill="1" applyBorder="1" applyAlignment="1">
      <alignment horizontal="center"/>
    </xf>
    <xf numFmtId="1" fontId="0" fillId="0" borderId="0" xfId="42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37" xfId="42" applyNumberFormat="1" applyBorder="1" applyAlignment="1">
      <alignment horizontal="center"/>
    </xf>
    <xf numFmtId="3" fontId="0" fillId="0" borderId="16" xfId="42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1" fontId="0" fillId="0" borderId="13" xfId="42" applyNumberForma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0" fillId="0" borderId="17" xfId="42" applyNumberFormat="1" applyFont="1" applyFill="1" applyBorder="1" applyAlignment="1">
      <alignment horizontal="center"/>
    </xf>
    <xf numFmtId="1" fontId="0" fillId="0" borderId="22" xfId="42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3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5" fillId="0" borderId="0" xfId="59" applyAlignment="1">
      <alignment horizontal="center"/>
      <protection/>
    </xf>
    <xf numFmtId="1" fontId="2" fillId="0" borderId="26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5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18" xfId="0" applyFill="1" applyBorder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9" fontId="0" fillId="0" borderId="36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8" xfId="0" applyNumberFormat="1" applyFill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37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43" fontId="0" fillId="0" borderId="40" xfId="42" applyFont="1" applyFill="1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57" xfId="42" applyNumberFormat="1" applyFont="1" applyFill="1" applyBorder="1" applyAlignment="1">
      <alignment horizontal="center"/>
    </xf>
    <xf numFmtId="2" fontId="0" fillId="0" borderId="58" xfId="42" applyNumberFormat="1" applyFill="1" applyBorder="1" applyAlignment="1">
      <alignment horizontal="center"/>
    </xf>
    <xf numFmtId="9" fontId="0" fillId="0" borderId="36" xfId="42" applyNumberFormat="1" applyFill="1" applyBorder="1" applyAlignment="1">
      <alignment horizontal="center"/>
    </xf>
    <xf numFmtId="3" fontId="0" fillId="0" borderId="18" xfId="42" applyNumberFormat="1" applyFill="1" applyBorder="1" applyAlignment="1">
      <alignment horizontal="center" wrapText="1"/>
    </xf>
    <xf numFmtId="3" fontId="0" fillId="0" borderId="59" xfId="0" applyNumberFormat="1" applyFill="1" applyBorder="1" applyAlignment="1">
      <alignment horizontal="center"/>
    </xf>
    <xf numFmtId="3" fontId="0" fillId="0" borderId="0" xfId="42" applyNumberFormat="1" applyFill="1" applyBorder="1" applyAlignment="1">
      <alignment horizontal="center"/>
    </xf>
    <xf numFmtId="3" fontId="0" fillId="0" borderId="0" xfId="42" applyNumberFormat="1" applyFill="1" applyAlignment="1">
      <alignment horizontal="center"/>
    </xf>
    <xf numFmtId="3" fontId="0" fillId="0" borderId="13" xfId="0" applyNumberFormat="1" applyFill="1" applyBorder="1" applyAlignment="1">
      <alignment horizontal="center" wrapText="1"/>
    </xf>
    <xf numFmtId="3" fontId="0" fillId="0" borderId="22" xfId="42" applyNumberFormat="1" applyFill="1" applyBorder="1" applyAlignment="1">
      <alignment horizontal="center"/>
    </xf>
    <xf numFmtId="3" fontId="0" fillId="0" borderId="23" xfId="42" applyNumberFormat="1" applyFont="1" applyFill="1" applyBorder="1" applyAlignment="1">
      <alignment horizontal="center"/>
    </xf>
    <xf numFmtId="3" fontId="0" fillId="0" borderId="23" xfId="42" applyNumberFormat="1" applyFill="1" applyBorder="1" applyAlignment="1">
      <alignment horizontal="center"/>
    </xf>
    <xf numFmtId="3" fontId="0" fillId="0" borderId="24" xfId="42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9" fontId="0" fillId="0" borderId="59" xfId="0" applyNumberFormat="1" applyFill="1" applyBorder="1" applyAlignment="1">
      <alignment horizontal="center"/>
    </xf>
    <xf numFmtId="1" fontId="0" fillId="0" borderId="13" xfId="42" applyNumberFormat="1" applyFont="1" applyFill="1" applyBorder="1" applyAlignment="1">
      <alignment horizontal="center" wrapText="1"/>
    </xf>
    <xf numFmtId="3" fontId="0" fillId="0" borderId="13" xfId="42" applyNumberFormat="1" applyFont="1" applyFill="1" applyBorder="1" applyAlignment="1">
      <alignment horizontal="center" wrapText="1"/>
    </xf>
    <xf numFmtId="169" fontId="0" fillId="0" borderId="23" xfId="0" applyNumberFormat="1" applyFill="1" applyBorder="1" applyAlignment="1">
      <alignment horizontal="center"/>
    </xf>
    <xf numFmtId="9" fontId="0" fillId="0" borderId="14" xfId="42" applyNumberFormat="1" applyFill="1" applyBorder="1" applyAlignment="1">
      <alignment horizontal="center"/>
    </xf>
    <xf numFmtId="9" fontId="0" fillId="0" borderId="16" xfId="42" applyNumberFormat="1" applyFill="1" applyBorder="1" applyAlignment="1">
      <alignment horizontal="center"/>
    </xf>
    <xf numFmtId="9" fontId="0" fillId="0" borderId="14" xfId="42" applyNumberFormat="1" applyBorder="1" applyAlignment="1">
      <alignment horizontal="center"/>
    </xf>
    <xf numFmtId="9" fontId="0" fillId="0" borderId="16" xfId="42" applyNumberFormat="1" applyBorder="1" applyAlignment="1">
      <alignment horizontal="center"/>
    </xf>
    <xf numFmtId="2" fontId="6" fillId="0" borderId="0" xfId="63" applyNumberFormat="1" applyFont="1" applyFill="1" applyBorder="1" applyAlignment="1">
      <alignment horizontal="left"/>
      <protection/>
    </xf>
    <xf numFmtId="1" fontId="7" fillId="33" borderId="13" xfId="59" applyNumberFormat="1" applyFont="1" applyFill="1" applyBorder="1" applyAlignment="1">
      <alignment horizontal="left"/>
      <protection/>
    </xf>
    <xf numFmtId="1" fontId="6" fillId="0" borderId="0" xfId="63" applyNumberFormat="1" applyFont="1" applyFill="1" applyBorder="1" applyAlignment="1">
      <alignment horizontal="right" wrapText="1"/>
      <protection/>
    </xf>
    <xf numFmtId="1" fontId="0" fillId="0" borderId="0" xfId="61" applyNumberFormat="1">
      <alignment/>
      <protection/>
    </xf>
    <xf numFmtId="2" fontId="6" fillId="0" borderId="0" xfId="63" applyNumberFormat="1" applyFont="1" applyFill="1" applyBorder="1" applyAlignment="1">
      <alignment horizontal="left" wrapText="1"/>
      <protection/>
    </xf>
    <xf numFmtId="1" fontId="0" fillId="0" borderId="0" xfId="61" applyNumberFormat="1" applyFont="1" applyAlignment="1">
      <alignment horizontal="center"/>
      <protection/>
    </xf>
    <xf numFmtId="1" fontId="7" fillId="33" borderId="13" xfId="59" applyNumberFormat="1" applyFont="1" applyFill="1" applyBorder="1" applyAlignment="1">
      <alignment horizontal="center"/>
      <protection/>
    </xf>
    <xf numFmtId="1" fontId="6" fillId="0" borderId="0" xfId="60" applyNumberFormat="1" applyFont="1" applyFill="1" applyBorder="1" applyAlignment="1">
      <alignment horizontal="center" wrapText="1"/>
      <protection/>
    </xf>
    <xf numFmtId="1" fontId="0" fillId="0" borderId="0" xfId="61" applyNumberFormat="1" applyAlignment="1">
      <alignment horizontal="center"/>
      <protection/>
    </xf>
    <xf numFmtId="0" fontId="5" fillId="0" borderId="10" xfId="59" applyBorder="1" applyAlignment="1">
      <alignment horizontal="center" wrapText="1"/>
      <protection/>
    </xf>
    <xf numFmtId="0" fontId="5" fillId="0" borderId="11" xfId="59" applyBorder="1" applyAlignment="1">
      <alignment horizontal="center" wrapText="1"/>
      <protection/>
    </xf>
    <xf numFmtId="8" fontId="5" fillId="0" borderId="11" xfId="47" applyBorder="1" applyAlignment="1">
      <alignment horizontal="center" wrapText="1"/>
    </xf>
    <xf numFmtId="0" fontId="5" fillId="0" borderId="12" xfId="59" applyBorder="1" applyAlignment="1">
      <alignment horizontal="center" wrapText="1"/>
      <protection/>
    </xf>
    <xf numFmtId="8" fontId="5" fillId="0" borderId="13" xfId="59" applyNumberFormat="1" applyBorder="1" applyAlignment="1">
      <alignment horizontal="center" wrapText="1"/>
      <protection/>
    </xf>
    <xf numFmtId="0" fontId="5" fillId="0" borderId="16" xfId="59" applyBorder="1" applyAlignment="1">
      <alignment horizontal="center" wrapText="1"/>
      <protection/>
    </xf>
    <xf numFmtId="0" fontId="5" fillId="0" borderId="17" xfId="59" applyBorder="1" applyAlignment="1">
      <alignment horizontal="center" wrapText="1"/>
      <protection/>
    </xf>
    <xf numFmtId="8" fontId="5" fillId="0" borderId="17" xfId="59" applyNumberFormat="1" applyBorder="1" applyAlignment="1">
      <alignment horizontal="center" wrapText="1"/>
      <protection/>
    </xf>
    <xf numFmtId="4" fontId="5" fillId="0" borderId="25" xfId="44" applyBorder="1" applyAlignment="1">
      <alignment horizontal="center"/>
    </xf>
    <xf numFmtId="9" fontId="5" fillId="0" borderId="0" xfId="59" applyNumberFormat="1" applyAlignment="1">
      <alignment horizontal="center"/>
      <protection/>
    </xf>
    <xf numFmtId="43" fontId="0" fillId="0" borderId="12" xfId="42" applyFont="1" applyBorder="1" applyAlignment="1">
      <alignment horizontal="center"/>
    </xf>
    <xf numFmtId="9" fontId="0" fillId="0" borderId="36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3" fontId="0" fillId="0" borderId="22" xfId="42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5" fontId="0" fillId="0" borderId="23" xfId="42" applyNumberFormat="1" applyFont="1" applyFill="1" applyBorder="1" applyAlignment="1">
      <alignment horizontal="center"/>
    </xf>
    <xf numFmtId="165" fontId="0" fillId="0" borderId="23" xfId="42" applyNumberForma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5" fontId="0" fillId="0" borderId="24" xfId="42" applyNumberFormat="1" applyFont="1" applyFill="1" applyBorder="1" applyAlignment="1">
      <alignment horizontal="center"/>
    </xf>
    <xf numFmtId="3" fontId="0" fillId="0" borderId="0" xfId="42" applyNumberFormat="1" applyBorder="1" applyAlignment="1">
      <alignment horizontal="center"/>
    </xf>
    <xf numFmtId="0" fontId="2" fillId="0" borderId="40" xfId="0" applyFont="1" applyBorder="1" applyAlignment="1">
      <alignment/>
    </xf>
    <xf numFmtId="1" fontId="0" fillId="0" borderId="37" xfId="42" applyNumberFormat="1" applyFill="1" applyBorder="1" applyAlignment="1">
      <alignment horizontal="center"/>
    </xf>
    <xf numFmtId="1" fontId="0" fillId="0" borderId="25" xfId="42" applyNumberFormat="1" applyBorder="1" applyAlignment="1">
      <alignment horizontal="center"/>
    </xf>
    <xf numFmtId="1" fontId="0" fillId="0" borderId="21" xfId="42" applyNumberFormat="1" applyFill="1" applyBorder="1" applyAlignment="1">
      <alignment horizontal="center"/>
    </xf>
    <xf numFmtId="1" fontId="0" fillId="0" borderId="18" xfId="42" applyNumberFormat="1" applyBorder="1" applyAlignment="1">
      <alignment horizontal="center"/>
    </xf>
    <xf numFmtId="0" fontId="0" fillId="0" borderId="0" xfId="0" applyAlignment="1">
      <alignment horizontal="center" textRotation="90"/>
    </xf>
    <xf numFmtId="0" fontId="0" fillId="0" borderId="59" xfId="0" applyBorder="1" applyAlignment="1">
      <alignment horizontal="center" textRotation="90"/>
    </xf>
    <xf numFmtId="1" fontId="0" fillId="0" borderId="0" xfId="0" applyNumberFormat="1" applyAlignment="1">
      <alignment horizontal="center" textRotation="90"/>
    </xf>
    <xf numFmtId="0" fontId="6" fillId="0" borderId="34" xfId="60" applyFont="1" applyFill="1" applyBorder="1" applyAlignment="1">
      <alignment wrapText="1"/>
      <protection/>
    </xf>
    <xf numFmtId="0" fontId="6" fillId="0" borderId="34" xfId="60" applyFont="1" applyFill="1" applyBorder="1" applyAlignment="1">
      <alignment horizontal="right" wrapText="1"/>
      <protection/>
    </xf>
    <xf numFmtId="2" fontId="6" fillId="0" borderId="34" xfId="60" applyNumberFormat="1" applyFont="1" applyFill="1" applyBorder="1" applyAlignment="1">
      <alignment horizontal="center" wrapText="1"/>
      <protection/>
    </xf>
    <xf numFmtId="0" fontId="6" fillId="0" borderId="0" xfId="60" applyFont="1" applyFill="1" applyBorder="1" applyAlignment="1" quotePrefix="1">
      <alignment wrapText="1"/>
      <protection/>
    </xf>
    <xf numFmtId="0" fontId="6" fillId="0" borderId="34" xfId="62" applyFont="1" applyFill="1" applyBorder="1" applyAlignment="1">
      <alignment wrapText="1"/>
      <protection/>
    </xf>
    <xf numFmtId="0" fontId="6" fillId="0" borderId="34" xfId="62" applyFont="1" applyFill="1" applyBorder="1" applyAlignment="1">
      <alignment horizontal="right" wrapText="1"/>
      <protection/>
    </xf>
    <xf numFmtId="2" fontId="6" fillId="0" borderId="34" xfId="62" applyNumberFormat="1" applyFont="1" applyFill="1" applyBorder="1" applyAlignment="1">
      <alignment horizontal="center" wrapText="1"/>
      <protection/>
    </xf>
    <xf numFmtId="0" fontId="6" fillId="0" borderId="0" xfId="62" applyFont="1" applyFill="1" applyBorder="1" applyAlignment="1">
      <alignment wrapText="1"/>
      <protection/>
    </xf>
    <xf numFmtId="0" fontId="6" fillId="0" borderId="0" xfId="62" applyFont="1" applyFill="1" applyBorder="1" applyAlignment="1">
      <alignment horizontal="right" wrapText="1"/>
      <protection/>
    </xf>
    <xf numFmtId="2" fontId="6" fillId="0" borderId="0" xfId="62" applyNumberFormat="1" applyFont="1" applyFill="1" applyBorder="1" applyAlignment="1">
      <alignment horizontal="center" wrapText="1"/>
      <protection/>
    </xf>
    <xf numFmtId="1" fontId="0" fillId="0" borderId="0" xfId="61" applyNumberFormat="1" applyFont="1" applyBorder="1" applyAlignment="1">
      <alignment horizontal="center"/>
      <protection/>
    </xf>
    <xf numFmtId="1" fontId="0" fillId="0" borderId="0" xfId="61" applyNumberFormat="1" applyBorder="1" applyAlignment="1">
      <alignment horizontal="center"/>
      <protection/>
    </xf>
    <xf numFmtId="0" fontId="6" fillId="0" borderId="0" xfId="62" applyFont="1" applyFill="1" applyBorder="1" applyAlignment="1" quotePrefix="1">
      <alignment wrapText="1"/>
      <protection/>
    </xf>
    <xf numFmtId="0" fontId="0" fillId="0" borderId="57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57" xfId="0" applyNumberFormat="1" applyBorder="1" applyAlignment="1">
      <alignment horizontal="center" wrapText="1"/>
    </xf>
    <xf numFmtId="0" fontId="0" fillId="0" borderId="60" xfId="0" applyNumberFormat="1" applyBorder="1" applyAlignment="1">
      <alignment horizontal="center" wrapText="1"/>
    </xf>
    <xf numFmtId="0" fontId="0" fillId="0" borderId="61" xfId="0" applyNumberFormat="1" applyBorder="1" applyAlignment="1">
      <alignment horizontal="center" wrapText="1"/>
    </xf>
    <xf numFmtId="0" fontId="2" fillId="37" borderId="0" xfId="0" applyFont="1" applyFill="1" applyAlignment="1">
      <alignment horizontal="center" wrapText="1"/>
    </xf>
    <xf numFmtId="0" fontId="2" fillId="38" borderId="0" xfId="0" applyFont="1" applyFill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62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2" fillId="0" borderId="64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43" fontId="0" fillId="0" borderId="0" xfId="42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009rtperfdata--GuidelineDevelopment--FREQUENCIES_TO_MATCH_DEMAND__RIDES_PER_PLATFORM_HOUR" xfId="44"/>
    <cellStyle name="Currency" xfId="45"/>
    <cellStyle name="Currency [0]" xfId="46"/>
    <cellStyle name="Currency_2009rtperfdata--GuidelineDevelopment--FREQUENCIES_TO_MATCH_DEMAND__RIDES_PER_PLATFORM_HOUR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2009rtperfdata--GuidelineDevelopment--FREQUENCIES_TO_MATCH_DEMAND__RIDES_PER_PLATFORM_HOUR" xfId="59"/>
    <cellStyle name="Normal_AM_IB" xfId="60"/>
    <cellStyle name="Normal_AvLoads_AllDayRoutes" xfId="61"/>
    <cellStyle name="Normal_PM_OB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120</xdr:row>
      <xdr:rowOff>152400</xdr:rowOff>
    </xdr:from>
    <xdr:to>
      <xdr:col>11</xdr:col>
      <xdr:colOff>609600</xdr:colOff>
      <xdr:row>125</xdr:row>
      <xdr:rowOff>466725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21545550"/>
          <a:ext cx="86963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Overcrowding and cost recovery scores are based on interim service levels and ridership demand of the primary route of each corridor in the 2009 perforamnce report.  The route/part/keytype is defined in columns F-O.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Peak overcrowding and cost recovery scores are the highest of the two (AM and PM) peak periods.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4"/>
  <sheetViews>
    <sheetView tabSelected="1" zoomScale="85" zoomScaleNormal="85"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3" sqref="A3"/>
    </sheetView>
  </sheetViews>
  <sheetFormatPr defaultColWidth="9.140625" defaultRowHeight="12.75"/>
  <cols>
    <col min="2" max="2" width="4.57421875" style="0" customWidth="1"/>
    <col min="3" max="3" width="16.421875" style="0" customWidth="1"/>
    <col min="4" max="4" width="14.8515625" style="0" customWidth="1"/>
    <col min="5" max="5" width="40.8515625" style="0" customWidth="1"/>
    <col min="6" max="6" width="11.00390625" style="1" customWidth="1"/>
    <col min="7" max="7" width="11.28125" style="2" customWidth="1"/>
    <col min="8" max="8" width="11.28125" style="63" customWidth="1"/>
    <col min="9" max="9" width="11.28125" style="2" customWidth="1"/>
    <col min="10" max="10" width="11.28125" style="56" customWidth="1"/>
    <col min="11" max="11" width="11.28125" style="0" customWidth="1"/>
    <col min="12" max="12" width="11.28125" style="56" customWidth="1"/>
    <col min="13" max="13" width="11.28125" style="0" customWidth="1"/>
    <col min="14" max="14" width="11.28125" style="56" customWidth="1"/>
    <col min="15" max="15" width="11.28125" style="0" customWidth="1"/>
    <col min="16" max="16" width="11.28125" style="56" customWidth="1"/>
    <col min="17" max="17" width="11.28125" style="0" customWidth="1"/>
    <col min="18" max="18" width="11.28125" style="56" customWidth="1"/>
    <col min="19" max="21" width="9.140625" style="34" customWidth="1"/>
    <col min="22" max="22" width="16.7109375" style="0" customWidth="1"/>
    <col min="23" max="23" width="12.421875" style="0" customWidth="1"/>
    <col min="24" max="24" width="13.00390625" style="0" customWidth="1"/>
    <col min="25" max="25" width="9.421875" style="79" customWidth="1"/>
    <col min="26" max="30" width="9.140625" style="79" customWidth="1"/>
    <col min="31" max="31" width="9.140625" style="23" customWidth="1"/>
    <col min="32" max="34" width="9.140625" style="79" customWidth="1"/>
    <col min="35" max="35" width="9.7109375" style="79" customWidth="1"/>
    <col min="36" max="38" width="9.140625" style="79" customWidth="1"/>
    <col min="39" max="41" width="9.140625" style="0" customWidth="1"/>
    <col min="42" max="42" width="9.140625" style="21" customWidth="1"/>
    <col min="43" max="44" width="16.421875" style="79" bestFit="1" customWidth="1"/>
    <col min="45" max="45" width="16.57421875" style="79" customWidth="1"/>
    <col min="46" max="46" width="17.421875" style="79" customWidth="1"/>
    <col min="47" max="52" width="9.140625" style="0" customWidth="1"/>
    <col min="53" max="55" width="9.140625" style="79" customWidth="1"/>
  </cols>
  <sheetData>
    <row r="1" spans="7:42" ht="13.5" thickBot="1">
      <c r="G1" s="389" t="s">
        <v>739</v>
      </c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90" t="s">
        <v>740</v>
      </c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</row>
    <row r="2" spans="3:55" ht="50.25" customHeight="1">
      <c r="C2" s="377" t="s">
        <v>6</v>
      </c>
      <c r="D2" s="377"/>
      <c r="E2" s="377"/>
      <c r="F2" s="232"/>
      <c r="G2" s="377" t="s">
        <v>741</v>
      </c>
      <c r="H2" s="377"/>
      <c r="I2" s="377"/>
      <c r="J2" s="377"/>
      <c r="K2" s="377" t="s">
        <v>742</v>
      </c>
      <c r="L2" s="377"/>
      <c r="M2" s="377"/>
      <c r="N2" s="377"/>
      <c r="O2" s="377" t="s">
        <v>743</v>
      </c>
      <c r="P2" s="377"/>
      <c r="Q2" s="377"/>
      <c r="R2" s="377"/>
      <c r="S2" s="233"/>
      <c r="T2" s="233"/>
      <c r="U2" s="234"/>
      <c r="V2" s="382" t="s">
        <v>361</v>
      </c>
      <c r="W2" s="383"/>
      <c r="X2" s="384"/>
      <c r="Y2" s="374" t="s">
        <v>617</v>
      </c>
      <c r="Z2" s="376"/>
      <c r="AA2" s="379" t="s">
        <v>366</v>
      </c>
      <c r="AB2" s="381"/>
      <c r="AC2" s="375" t="s">
        <v>712</v>
      </c>
      <c r="AD2" s="375"/>
      <c r="AE2" s="375"/>
      <c r="AF2" s="379" t="s">
        <v>721</v>
      </c>
      <c r="AG2" s="380"/>
      <c r="AH2" s="381"/>
      <c r="AI2" s="374" t="s">
        <v>364</v>
      </c>
      <c r="AJ2" s="375"/>
      <c r="AK2" s="375"/>
      <c r="AL2" s="376"/>
      <c r="AM2" s="2"/>
      <c r="AN2" s="386" t="s">
        <v>616</v>
      </c>
      <c r="AO2" s="387"/>
      <c r="AP2" s="388"/>
      <c r="AQ2" s="374" t="s">
        <v>615</v>
      </c>
      <c r="AR2" s="375"/>
      <c r="AS2" s="376"/>
      <c r="AT2" s="255"/>
      <c r="AU2" s="379" t="s">
        <v>600</v>
      </c>
      <c r="AV2" s="380"/>
      <c r="AW2" s="385"/>
      <c r="AX2" s="379" t="s">
        <v>601</v>
      </c>
      <c r="AY2" s="380"/>
      <c r="AZ2" s="385"/>
      <c r="BA2" s="379" t="s">
        <v>602</v>
      </c>
      <c r="BB2" s="380"/>
      <c r="BC2" s="381"/>
    </row>
    <row r="3" spans="1:55" ht="121.5" thickBot="1">
      <c r="A3" s="358" t="s">
        <v>747</v>
      </c>
      <c r="B3" s="359" t="s">
        <v>746</v>
      </c>
      <c r="C3" s="25" t="s">
        <v>327</v>
      </c>
      <c r="D3" s="25" t="s">
        <v>328</v>
      </c>
      <c r="E3" s="25" t="s">
        <v>329</v>
      </c>
      <c r="F3" s="8" t="s">
        <v>330</v>
      </c>
      <c r="G3" s="11" t="s">
        <v>332</v>
      </c>
      <c r="H3" s="70" t="s">
        <v>5</v>
      </c>
      <c r="I3" s="11" t="s">
        <v>331</v>
      </c>
      <c r="J3" s="70" t="s">
        <v>5</v>
      </c>
      <c r="K3" s="11" t="s">
        <v>333</v>
      </c>
      <c r="L3" s="70" t="s">
        <v>5</v>
      </c>
      <c r="M3" s="11" t="s">
        <v>352</v>
      </c>
      <c r="N3" s="70" t="s">
        <v>5</v>
      </c>
      <c r="O3" s="11" t="s">
        <v>335</v>
      </c>
      <c r="P3" s="70" t="s">
        <v>5</v>
      </c>
      <c r="Q3" s="11" t="s">
        <v>334</v>
      </c>
      <c r="R3" s="70" t="s">
        <v>5</v>
      </c>
      <c r="S3" s="71" t="s">
        <v>362</v>
      </c>
      <c r="T3" s="247" t="s">
        <v>598</v>
      </c>
      <c r="U3" s="72"/>
      <c r="V3" s="75" t="s">
        <v>358</v>
      </c>
      <c r="W3" s="75" t="s">
        <v>359</v>
      </c>
      <c r="X3" s="75" t="s">
        <v>360</v>
      </c>
      <c r="Y3" s="231" t="s">
        <v>358</v>
      </c>
      <c r="Z3" s="224" t="s">
        <v>359</v>
      </c>
      <c r="AA3" s="225" t="s">
        <v>358</v>
      </c>
      <c r="AB3" s="226" t="s">
        <v>359</v>
      </c>
      <c r="AC3" s="227" t="s">
        <v>358</v>
      </c>
      <c r="AD3" s="228" t="s">
        <v>359</v>
      </c>
      <c r="AE3" s="229" t="s">
        <v>360</v>
      </c>
      <c r="AF3" s="225" t="s">
        <v>358</v>
      </c>
      <c r="AG3" s="228" t="s">
        <v>359</v>
      </c>
      <c r="AH3" s="226" t="s">
        <v>360</v>
      </c>
      <c r="AI3" s="230" t="s">
        <v>365</v>
      </c>
      <c r="AJ3" s="76" t="s">
        <v>585</v>
      </c>
      <c r="AK3" s="77" t="s">
        <v>715</v>
      </c>
      <c r="AL3" s="78" t="s">
        <v>586</v>
      </c>
      <c r="AN3" s="211" t="s">
        <v>358</v>
      </c>
      <c r="AO3" s="75" t="s">
        <v>359</v>
      </c>
      <c r="AP3" s="210" t="s">
        <v>360</v>
      </c>
      <c r="AQ3" s="211" t="s">
        <v>358</v>
      </c>
      <c r="AR3" s="75" t="s">
        <v>359</v>
      </c>
      <c r="AS3" s="172" t="s">
        <v>360</v>
      </c>
      <c r="AT3" s="256" t="s">
        <v>626</v>
      </c>
      <c r="AU3" s="204" t="s">
        <v>358</v>
      </c>
      <c r="AV3" s="203" t="s">
        <v>359</v>
      </c>
      <c r="AW3" s="206" t="s">
        <v>360</v>
      </c>
      <c r="AX3" s="204" t="s">
        <v>358</v>
      </c>
      <c r="AY3" s="203" t="s">
        <v>359</v>
      </c>
      <c r="AZ3" s="206" t="s">
        <v>360</v>
      </c>
      <c r="BA3" s="204" t="s">
        <v>358</v>
      </c>
      <c r="BB3" s="203" t="s">
        <v>359</v>
      </c>
      <c r="BC3" s="205" t="s">
        <v>360</v>
      </c>
    </row>
    <row r="4" spans="1:55" ht="13.5" customHeight="1">
      <c r="A4" t="s">
        <v>25</v>
      </c>
      <c r="B4" s="79">
        <v>1</v>
      </c>
      <c r="C4" s="12" t="s">
        <v>26</v>
      </c>
      <c r="D4" s="13" t="s">
        <v>4</v>
      </c>
      <c r="E4" s="13" t="s">
        <v>27</v>
      </c>
      <c r="F4" s="13" t="s">
        <v>28</v>
      </c>
      <c r="G4" s="67">
        <f>VLOOKUP($A4,HH_Jobs_CorridorLength!$A$2:$F$116,5,FALSE)</f>
        <v>2093.272156968067</v>
      </c>
      <c r="H4" s="68">
        <f aca="true" t="shared" si="0" ref="H4:H35">IF(Households__Corridor_Mile&gt;HH_High_Thrshld,HH_High_Pts,IF(Households__Corridor_Mile&gt;HH_Mid_Thrshld,HH_Mid_Pts,IF(Households__Corridor_Mile&gt;HH_Low_Thrshld,HH_Low_Pts,0)))</f>
        <v>7</v>
      </c>
      <c r="I4" s="67">
        <f>VLOOKUP($A4,HH_Jobs_CorridorLength!$A$2:$F$116,6,FALSE)</f>
        <v>18495.968559134875</v>
      </c>
      <c r="J4" s="62">
        <f aca="true" t="shared" si="1" ref="J4:J35">IF(Jobs__CorridorMile&gt;Jobs_High_Thrshld,Jobs_High_Pts,IF(Jobs__CorridorMile&gt;Jobs_Mid_Thrshld,Jobs_Mid_pts,IF(Jobs__CorridorMile&gt;Jobs_Low_Thrshld,Jobs_Low_Pts,0)))</f>
        <v>10</v>
      </c>
      <c r="K4" s="319">
        <f>VLOOKUP(A4,Low_Income_Minority!$A$3:$J$115,8,FALSE)</f>
        <v>0.8155355955437507</v>
      </c>
      <c r="L4" s="66">
        <f>IF(Minority&gt;=Minority_Thrshld,Min_Pts,0)</f>
        <v>5</v>
      </c>
      <c r="M4" s="321">
        <f>VLOOKUP(A4,Low_Income_Minority!$A$3:$J$115,10,FALSE)</f>
        <v>0.9122588156293511</v>
      </c>
      <c r="N4" s="260">
        <f aca="true" t="shared" si="2" ref="N4:N35">IF(Low_Income&gt;=Demo_Thrshld,Demo_Pts,0)</f>
        <v>5</v>
      </c>
      <c r="O4" s="57" t="str">
        <f>VLOOKUP(A4,Primary_Connections_To_Centers!$A$3:$K$116,9,FALSE)</f>
        <v>Yes</v>
      </c>
      <c r="P4" s="60">
        <f aca="true" t="shared" si="3" ref="P4:P35">IF(O4=P$120,O$120,IF(O4&gt;P$121,O$121,0))</f>
        <v>5</v>
      </c>
      <c r="Q4" s="38" t="str">
        <f>VLOOKUP(A4,Primary_Connections_To_Centers!$A$3:$K$116,10,FALSE)</f>
        <v>Yes</v>
      </c>
      <c r="R4" s="60">
        <f aca="true" t="shared" si="4" ref="R4:R35">IF(Q4=R$120,Q$120,IF(Q4&gt;R$121,Q$121,0))</f>
        <v>5</v>
      </c>
      <c r="S4" s="58">
        <f aca="true" t="shared" si="5" ref="S4:S35">HH_Pts+Jobs_Pts+Minority_Pts+Low_Income_Pts+ActivityCntr_Pts+RegionalCntr_Pts</f>
        <v>37</v>
      </c>
      <c r="T4" s="65"/>
      <c r="U4" s="73"/>
      <c r="V4" s="64">
        <f aca="true" t="shared" si="6" ref="V4:V35">IF(RapidRide="YES","Better than 15 min",IF(Total_Score&gt;Peak_15min_Pts,LOS_15Min,IF(Total_Score&gt;Peak_30min_Pts,LOS_30Min,IF(Total_Score&gt;Peak_60min_Pts,LOS_60Min,0))))</f>
        <v>15</v>
      </c>
      <c r="W4" s="64">
        <f aca="true" t="shared" si="7" ref="W4:W35">IF(RapidRide="YES",15,IF(Total_Score&gt;OffPeak_15min_Pts,LOS_15Min,IF(Total_Score&gt;OffPeak_30min_Pts,LOS_30Min,IF(Total_Score&gt;OffPeak_60min_Pts,LOS_60Min,0))))</f>
        <v>15</v>
      </c>
      <c r="X4" s="64">
        <f aca="true" t="shared" si="8" ref="X4:X35">IF(RapidRide="YES",15,IF(Total_Score&gt;Night_15min_Pts,LOS_15Min,IF(Total_Score&gt;Night_30min_Pts,LOS_30Min,IF(Total_Score&gt;Night_60min_Pts,LOS_60Min,0))))</f>
        <v>30</v>
      </c>
      <c r="Y4" s="38">
        <f>VLOOKUP(A4,Step_II_Load_CostRecovery_Sum!$A$5:$T$117,14,FALSE)</f>
        <v>3.42</v>
      </c>
      <c r="Z4" s="167">
        <f>VLOOKUP($A4,Step_II_Load_CostRecovery_Sum!$A$5:$T$117,15,FALSE)</f>
        <v>0.73</v>
      </c>
      <c r="AA4" s="38">
        <f aca="true" t="shared" si="9" ref="AA4:AA35">IF(Peak_Load="N/A","N/A",IF(Peak_Load&gt;=Load_1.5,Load_2StepIncrease,IF(Peak_Load&gt;=Load_0.8,Load_1StepIncrease,0)))</f>
        <v>2</v>
      </c>
      <c r="AB4" s="167">
        <f aca="true" t="shared" si="10" ref="AB4:AB35">IF(OffPeak_Load="N/A","N/A",IF(OffPeak_Load&gt;=Load_1.5,Load_2StepIncrease,IF(OffPeak_Load&gt;=Load_0.8,Load_1StepIncrease,0)))</f>
        <v>0</v>
      </c>
      <c r="AC4" s="288">
        <f>VLOOKUP($A4,Step_II_Load_CostRecovery_Sum!$A$5:$AE$117,29,FALSE)</f>
        <v>0.8946298619824342</v>
      </c>
      <c r="AD4" s="289">
        <f>VLOOKUP($A4,Step_II_Load_CostRecovery_Sum!$A$5:$AE$117,30,FALSE)</f>
        <v>0.6967283563362611</v>
      </c>
      <c r="AE4" s="290">
        <f>VLOOKUP($A4,Step_II_Load_CostRecovery_Sum!$A$5:$AE$117,31,FALSE)</f>
        <v>0</v>
      </c>
      <c r="AF4" s="38">
        <f aca="true" t="shared" si="11" ref="AF4:AF35">IF(Peak_CostRecovery="N/A","N/A",IF(Peak_CostRecovery&gt;=CostRecovery100,CostRecovery100_StepIncrease,IF(Peak_CostRecovery&gt;=CostRecovery50,CostRecovery50_StepIncrease,0)))</f>
        <v>1</v>
      </c>
      <c r="AG4" s="166">
        <f aca="true" t="shared" si="12" ref="AG4:AG35">IF(OffPeak_CostRecovery="N/A","N/A",IF(OffPeak_CostRecovery&gt;=CostRecovery100,CostRecovery100_StepIncrease,IF(OffPeak_CostRecovery&gt;=CostRecovery50,CostRecovery50_StepIncrease,0)))</f>
        <v>1</v>
      </c>
      <c r="AH4" s="167">
        <f aca="true" t="shared" si="13" ref="AH4:AH35">IF(Night_CostRecovery="N/A","N/A",IF(Night_CostRecovery&gt;=CostRecovery100,CostRecovery100_StepIncrease,IF(Night_CostRecovery&gt;=CostRecovery33,CostRecovery33_StepIncrease,0)))</f>
        <v>0</v>
      </c>
      <c r="AI4" s="38">
        <f aca="true" t="shared" si="14" ref="AI4:AI35">IF(RegionalCntr_Pts=5,60,0)</f>
        <v>60</v>
      </c>
      <c r="AJ4" s="170">
        <f aca="true" t="shared" si="15" ref="AJ4:AJ35">IF(Night_CostRecovery="N/A","N/A",IF(Night_CostRecovery&gt;=CostRecovery16,CostRecovery16_StepIncrease,IF(Night_CostRecovery&gt;=CostRecovery8,CostRecovery8_StepIncrease,0)))</f>
        <v>0</v>
      </c>
      <c r="AK4" s="25">
        <f aca="true" t="shared" si="16" ref="AK4:AK35">IF(FinalPeak_Service=15,30,IF(FinalPeak_Service="Better than 15 min",30,0))</f>
        <v>30</v>
      </c>
      <c r="AL4" s="167">
        <f aca="true" t="shared" si="17" ref="AL4:AL35">IF(AK4=30,30,IF(AJ4=30,30,IF(AJ4=60,60,IF(AI4=60,60,0))))</f>
        <v>30</v>
      </c>
      <c r="AN4" s="220">
        <f aca="true" t="shared" si="18" ref="AN4:AN35">IF(AA4=2,2,IF(AF4=2,2,IF(AF4=1,1,IF(AA4=1,1,0))))</f>
        <v>2</v>
      </c>
      <c r="AO4" s="26">
        <f aca="true" t="shared" si="19" ref="AO4:AO35">IF(AB4=2,2,IF(AG4=2,2,IF(AG4=1,1,IF(AB4=1,1,0))))</f>
        <v>1</v>
      </c>
      <c r="AP4" s="209">
        <f aca="true" t="shared" si="20" ref="AP4:AP35">IF(AC4=2,2,IF(AH4=2,2,IF(AH4=1,1,IF(AC4=1,1,0))))</f>
        <v>0</v>
      </c>
      <c r="AQ4" s="38" t="str">
        <f aca="true" t="shared" si="21" ref="AQ4:AQ35">IF(V4="Better than 15 min",V4,IF(AN4=2,IF(V4&lt;=30,"Better than 15 min",IF(V4=60,15,30)),IF(AN4=1,IF(V4=15,"Better than 15 min",IF(V4=30,15,30)),V4)))</f>
        <v>Better than 15 min</v>
      </c>
      <c r="AR4" s="25" t="str">
        <f aca="true" t="shared" si="22" ref="AR4:AR35">IF(AO4=2,IF(W4&lt;=30,"Better than 15 min",IF(W4=60,15,30)),IF(AO4=1,IF(W4=15,"Better than 15 min",IF(W4=30,15,30)),W4))</f>
        <v>Better than 15 min</v>
      </c>
      <c r="AS4" s="170">
        <f aca="true" t="shared" si="23" ref="AS4:AS35">IF(AP4=2,IF(X4&gt;=30,"Better than 15 min",IF(X4=60,15,30)),IF(AP4=1,IF(X4=15,"Better than 15 min",IF(X4=30,15,30)),IF(X4=0,AL4,IF(AL4&lt;X4,AL4,X4))))</f>
        <v>30</v>
      </c>
      <c r="AT4" s="253" t="str">
        <f aca="true" t="shared" si="24" ref="AT4:AT35">IF(AX4&lt;=2,IF(AY4&lt;=2,"Very Frequent","Frequent"),IF(AX4&lt;=4,"Local","Hourly"))</f>
        <v>Very Frequent</v>
      </c>
      <c r="AU4" s="251">
        <v>1</v>
      </c>
      <c r="AV4" s="41">
        <v>1</v>
      </c>
      <c r="AW4" s="207">
        <v>6</v>
      </c>
      <c r="AX4" s="175">
        <f>IF(AQ4="Better than 15 min",1,IF(AQ4=15,2,IF(AQ4=30,3,IF(AQ4=60,5,6))))</f>
        <v>1</v>
      </c>
      <c r="AY4" s="41">
        <f>IF(AR4="Better than 15 min",1,IF(AR4=15,2,IF(AR4=30,3,IF(AR4=60,5,6))))</f>
        <v>1</v>
      </c>
      <c r="AZ4" s="207">
        <f>IF(AS4="Better than 15 min",1,IF(AS4=15,2,IF(AS4=30,3,IF(AS4=60,5,6))))</f>
        <v>3</v>
      </c>
      <c r="BA4" s="38">
        <f aca="true" t="shared" si="25" ref="BA4:BA35">AX4-AU4</f>
        <v>0</v>
      </c>
      <c r="BB4" s="25">
        <f aca="true" t="shared" si="26" ref="BB4:BB35">AY4-AV4</f>
        <v>0</v>
      </c>
      <c r="BC4" s="167">
        <f aca="true" t="shared" si="27" ref="BC4:BC35">AZ4-AW4</f>
        <v>-3</v>
      </c>
    </row>
    <row r="5" spans="1:55" ht="12.75">
      <c r="A5" t="s">
        <v>12</v>
      </c>
      <c r="B5" s="79">
        <v>2</v>
      </c>
      <c r="C5" s="5" t="s">
        <v>13</v>
      </c>
      <c r="D5" s="6" t="s">
        <v>4</v>
      </c>
      <c r="E5" s="6" t="s">
        <v>14</v>
      </c>
      <c r="F5" s="8" t="s">
        <v>15</v>
      </c>
      <c r="G5" s="67">
        <f>VLOOKUP($A5,HH_Jobs_CorridorLength!$A$2:$F$116,5,FALSE)</f>
        <v>3427.7996322560352</v>
      </c>
      <c r="H5" s="62">
        <f t="shared" si="0"/>
        <v>10</v>
      </c>
      <c r="I5" s="67">
        <f>VLOOKUP($A5,HH_Jobs_CorridorLength!$A$2:$F$116,6,FALSE)</f>
        <v>26935.744385976315</v>
      </c>
      <c r="J5" s="62">
        <f t="shared" si="1"/>
        <v>10</v>
      </c>
      <c r="K5" s="319">
        <f>VLOOKUP(A5,Low_Income_Minority!$A$3:$J$115,8,FALSE)</f>
        <v>0.932026015894159</v>
      </c>
      <c r="L5" s="66">
        <f>IF(Minority&gt;=Minority_Thrshld,Min_Pts,0)</f>
        <v>5</v>
      </c>
      <c r="M5" s="321">
        <f>VLOOKUP(A5,Low_Income_Minority!$A$3:$J$115,10,FALSE)</f>
        <v>0.9320260158941552</v>
      </c>
      <c r="N5" s="260">
        <f t="shared" si="2"/>
        <v>5</v>
      </c>
      <c r="O5" s="57" t="str">
        <f>VLOOKUP(A5,Primary_Connections_To_Centers!$A$3:$K$116,9,FALSE)</f>
        <v>Yes</v>
      </c>
      <c r="P5" s="60">
        <f t="shared" si="3"/>
        <v>5</v>
      </c>
      <c r="Q5" s="38" t="str">
        <f>VLOOKUP(A5,Primary_Connections_To_Centers!$A$3:$K$116,10,FALSE)</f>
        <v>No</v>
      </c>
      <c r="R5" s="60">
        <f t="shared" si="4"/>
        <v>0</v>
      </c>
      <c r="S5" s="58">
        <f t="shared" si="5"/>
        <v>35</v>
      </c>
      <c r="T5" s="65"/>
      <c r="U5" s="73"/>
      <c r="V5" s="64">
        <f t="shared" si="6"/>
        <v>15</v>
      </c>
      <c r="W5" s="64">
        <f t="shared" si="7"/>
        <v>15</v>
      </c>
      <c r="X5" s="64">
        <f t="shared" si="8"/>
        <v>30</v>
      </c>
      <c r="Y5" s="38">
        <f>VLOOKUP(A5,Step_II_Load_CostRecovery_Sum!$A$5:$T$117,14,FALSE)</f>
        <v>0.71</v>
      </c>
      <c r="Z5" s="167">
        <f>VLOOKUP($A5,Step_II_Load_CostRecovery_Sum!$A$5:$T$117,15,FALSE)</f>
        <v>1.7</v>
      </c>
      <c r="AA5" s="38">
        <f t="shared" si="9"/>
        <v>0</v>
      </c>
      <c r="AB5" s="167">
        <f t="shared" si="10"/>
        <v>2</v>
      </c>
      <c r="AC5" s="288">
        <f>VLOOKUP($A5,Step_II_Load_CostRecovery_Sum!$A$5:$AE$117,29,FALSE)</f>
        <v>0.9718318695106651</v>
      </c>
      <c r="AD5" s="289">
        <f>VLOOKUP($A5,Step_II_Load_CostRecovery_Sum!$A$5:$AE$117,30,FALSE)</f>
        <v>1.2372961104140527</v>
      </c>
      <c r="AE5" s="290">
        <f>VLOOKUP($A5,Step_II_Load_CostRecovery_Sum!$A$5:$AE$117,31,FALSE)</f>
        <v>0.36896016311166874</v>
      </c>
      <c r="AF5" s="38">
        <f t="shared" si="11"/>
        <v>1</v>
      </c>
      <c r="AG5" s="166">
        <f t="shared" si="12"/>
        <v>2</v>
      </c>
      <c r="AH5" s="167">
        <f t="shared" si="13"/>
        <v>1</v>
      </c>
      <c r="AI5" s="38">
        <f t="shared" si="14"/>
        <v>0</v>
      </c>
      <c r="AJ5" s="170">
        <f t="shared" si="15"/>
        <v>30</v>
      </c>
      <c r="AK5" s="25">
        <f t="shared" si="16"/>
        <v>30</v>
      </c>
      <c r="AL5" s="167">
        <f t="shared" si="17"/>
        <v>30</v>
      </c>
      <c r="AN5" s="220">
        <f t="shared" si="18"/>
        <v>1</v>
      </c>
      <c r="AO5" s="26">
        <f t="shared" si="19"/>
        <v>2</v>
      </c>
      <c r="AP5" s="209">
        <f t="shared" si="20"/>
        <v>1</v>
      </c>
      <c r="AQ5" s="38" t="str">
        <f t="shared" si="21"/>
        <v>Better than 15 min</v>
      </c>
      <c r="AR5" s="25" t="str">
        <f t="shared" si="22"/>
        <v>Better than 15 min</v>
      </c>
      <c r="AS5" s="170">
        <f t="shared" si="23"/>
        <v>15</v>
      </c>
      <c r="AT5" s="253" t="str">
        <f t="shared" si="24"/>
        <v>Very Frequent</v>
      </c>
      <c r="AU5" s="251">
        <v>1</v>
      </c>
      <c r="AV5" s="41">
        <v>1</v>
      </c>
      <c r="AW5" s="207">
        <v>2</v>
      </c>
      <c r="AX5" s="175">
        <f>IF(AQ5="Better than 15 min",1,IF(AQ5=15,2,IF(AQ5=30,3,IF(AQ5=60,5,0))))</f>
        <v>1</v>
      </c>
      <c r="AY5" s="41">
        <f>IF(AR5="Better than 15 min",1,IF(AR5=15,2,IF(AR5=30,3,IF(AR5=60,5,0))))</f>
        <v>1</v>
      </c>
      <c r="AZ5" s="207">
        <f aca="true" t="shared" si="28" ref="AZ5:AZ36">IF(AS5="Better than 15 min",1,IF(AS5=15,2,IF(AS5=30,3,IF(AS5=60,5,6))))</f>
        <v>2</v>
      </c>
      <c r="BA5" s="38">
        <f t="shared" si="25"/>
        <v>0</v>
      </c>
      <c r="BB5" s="25">
        <f t="shared" si="26"/>
        <v>0</v>
      </c>
      <c r="BC5" s="167">
        <f t="shared" si="27"/>
        <v>0</v>
      </c>
    </row>
    <row r="6" spans="1:55" ht="12.75">
      <c r="A6" t="s">
        <v>7</v>
      </c>
      <c r="B6" s="79">
        <v>3</v>
      </c>
      <c r="C6" s="5" t="s">
        <v>8</v>
      </c>
      <c r="D6" s="6" t="s">
        <v>4</v>
      </c>
      <c r="E6" s="6" t="s">
        <v>9</v>
      </c>
      <c r="F6" s="10">
        <v>12</v>
      </c>
      <c r="G6" s="67">
        <f>VLOOKUP($A6,HH_Jobs_CorridorLength!$A$2:$F$116,5,FALSE)</f>
        <v>3772.335535031437</v>
      </c>
      <c r="H6" s="62">
        <f t="shared" si="0"/>
        <v>10</v>
      </c>
      <c r="I6" s="67">
        <f>VLOOKUP($A6,HH_Jobs_CorridorLength!$A$2:$F$116,6,FALSE)</f>
        <v>34778.081931040775</v>
      </c>
      <c r="J6" s="62">
        <f t="shared" si="1"/>
        <v>10</v>
      </c>
      <c r="K6" s="319">
        <f>VLOOKUP(A6,Low_Income_Minority!$A$3:$J$115,8,FALSE)</f>
        <v>0.16247545556881832</v>
      </c>
      <c r="L6" s="60">
        <f>IF(Minority&gt;=Minority_Thrshld,Min_Pts,0)</f>
        <v>0</v>
      </c>
      <c r="M6" s="321">
        <f>VLOOKUP(A6,Low_Income_Minority!$A$3:$J$115,10,FALSE)</f>
        <v>0.6666877812369623</v>
      </c>
      <c r="N6" s="260">
        <f t="shared" si="2"/>
        <v>5</v>
      </c>
      <c r="O6" s="57" t="str">
        <f>VLOOKUP(A6,Primary_Connections_To_Centers!$A$3:$K$116,9,FALSE)</f>
        <v>Yes</v>
      </c>
      <c r="P6" s="60">
        <f t="shared" si="3"/>
        <v>5</v>
      </c>
      <c r="Q6" s="38" t="str">
        <f>VLOOKUP(A6,Primary_Connections_To_Centers!$A$3:$K$116,10,FALSE)</f>
        <v>Yes</v>
      </c>
      <c r="R6" s="60">
        <f t="shared" si="4"/>
        <v>5</v>
      </c>
      <c r="S6" s="58">
        <f t="shared" si="5"/>
        <v>35</v>
      </c>
      <c r="T6" s="65"/>
      <c r="U6" s="73"/>
      <c r="V6" s="64">
        <f t="shared" si="6"/>
        <v>15</v>
      </c>
      <c r="W6" s="64">
        <f t="shared" si="7"/>
        <v>15</v>
      </c>
      <c r="X6" s="64">
        <f t="shared" si="8"/>
        <v>30</v>
      </c>
      <c r="Y6" s="38">
        <f>VLOOKUP(A6,Step_II_Load_CostRecovery_Sum!$A$5:$T$117,14,FALSE)</f>
        <v>0.47</v>
      </c>
      <c r="Z6" s="167">
        <f>VLOOKUP($A6,Step_II_Load_CostRecovery_Sum!$A$5:$T$117,15,FALSE)</f>
        <v>0.62</v>
      </c>
      <c r="AA6" s="38">
        <f t="shared" si="9"/>
        <v>0</v>
      </c>
      <c r="AB6" s="167">
        <f t="shared" si="10"/>
        <v>0</v>
      </c>
      <c r="AC6" s="288">
        <f>VLOOKUP($A6,Step_II_Load_CostRecovery_Sum!$A$5:$AE$117,29,FALSE)</f>
        <v>0.6237641154328732</v>
      </c>
      <c r="AD6" s="289">
        <f>VLOOKUP($A6,Step_II_Load_CostRecovery_Sum!$A$5:$AE$117,30,FALSE)</f>
        <v>0.4447349435382685</v>
      </c>
      <c r="AE6" s="290">
        <f>VLOOKUP($A6,Step_II_Load_CostRecovery_Sum!$A$5:$AE$117,31,FALSE)</f>
        <v>0.14125156838143035</v>
      </c>
      <c r="AF6" s="38">
        <f t="shared" si="11"/>
        <v>1</v>
      </c>
      <c r="AG6" s="166">
        <f t="shared" si="12"/>
        <v>0</v>
      </c>
      <c r="AH6" s="167">
        <f t="shared" si="13"/>
        <v>0</v>
      </c>
      <c r="AI6" s="38">
        <f t="shared" si="14"/>
        <v>60</v>
      </c>
      <c r="AJ6" s="170">
        <f t="shared" si="15"/>
        <v>60</v>
      </c>
      <c r="AK6" s="25">
        <f t="shared" si="16"/>
        <v>30</v>
      </c>
      <c r="AL6" s="167">
        <f t="shared" si="17"/>
        <v>30</v>
      </c>
      <c r="AN6" s="220">
        <f t="shared" si="18"/>
        <v>1</v>
      </c>
      <c r="AO6" s="26">
        <f t="shared" si="19"/>
        <v>0</v>
      </c>
      <c r="AP6" s="209">
        <f t="shared" si="20"/>
        <v>0</v>
      </c>
      <c r="AQ6" s="38" t="str">
        <f t="shared" si="21"/>
        <v>Better than 15 min</v>
      </c>
      <c r="AR6" s="25">
        <f t="shared" si="22"/>
        <v>15</v>
      </c>
      <c r="AS6" s="170">
        <f t="shared" si="23"/>
        <v>30</v>
      </c>
      <c r="AT6" s="253" t="str">
        <f t="shared" si="24"/>
        <v>Very Frequent</v>
      </c>
      <c r="AU6" s="251">
        <v>1</v>
      </c>
      <c r="AV6" s="41">
        <v>2</v>
      </c>
      <c r="AW6" s="207">
        <v>3</v>
      </c>
      <c r="AX6" s="175">
        <f>IF(AQ6="Better than 15 min",1,IF(AQ6=15,2,IF(AQ6=30,3,IF(AQ6=60,5,0))))</f>
        <v>1</v>
      </c>
      <c r="AY6" s="41">
        <f>IF(AR6="Better than 15 min",1,IF(AR6=15,2,IF(AR6=30,3,IF(AR6=60,5,0))))</f>
        <v>2</v>
      </c>
      <c r="AZ6" s="207">
        <f t="shared" si="28"/>
        <v>3</v>
      </c>
      <c r="BA6" s="38">
        <f t="shared" si="25"/>
        <v>0</v>
      </c>
      <c r="BB6" s="25">
        <f t="shared" si="26"/>
        <v>0</v>
      </c>
      <c r="BC6" s="167">
        <f t="shared" si="27"/>
        <v>0</v>
      </c>
    </row>
    <row r="7" spans="1:55" ht="12.75">
      <c r="A7" t="s">
        <v>20</v>
      </c>
      <c r="B7" s="79">
        <v>4</v>
      </c>
      <c r="C7" s="5" t="s">
        <v>21</v>
      </c>
      <c r="D7" s="6" t="s">
        <v>4</v>
      </c>
      <c r="E7" s="6" t="s">
        <v>22</v>
      </c>
      <c r="F7" s="10">
        <v>70</v>
      </c>
      <c r="G7" s="67">
        <f>VLOOKUP($A7,HH_Jobs_CorridorLength!$A$2:$F$116,5,FALSE)</f>
        <v>2492.303174528742</v>
      </c>
      <c r="H7" s="62">
        <f t="shared" si="0"/>
        <v>7</v>
      </c>
      <c r="I7" s="67">
        <f>VLOOKUP($A7,HH_Jobs_CorridorLength!$A$2:$F$116,6,FALSE)</f>
        <v>21080.724466506344</v>
      </c>
      <c r="J7" s="62">
        <f t="shared" si="1"/>
        <v>10</v>
      </c>
      <c r="K7" s="319">
        <f>VLOOKUP(A7,Low_Income_Minority!$A$3:$J$115,8,FALSE)</f>
        <v>0.3718188419973973</v>
      </c>
      <c r="L7" s="60">
        <f>IF(Minority&gt;=Minority_Thrshld,Min_Pts,0)</f>
        <v>0</v>
      </c>
      <c r="M7" s="321">
        <f>VLOOKUP(A7,Low_Income_Minority!$A$3:$J$115,10,FALSE)</f>
        <v>0.981250649111399</v>
      </c>
      <c r="N7" s="260">
        <f t="shared" si="2"/>
        <v>5</v>
      </c>
      <c r="O7" s="57" t="str">
        <f>VLOOKUP(A7,Primary_Connections_To_Centers!$A$3:$K$116,9,FALSE)</f>
        <v>Yes</v>
      </c>
      <c r="P7" s="60">
        <f t="shared" si="3"/>
        <v>5</v>
      </c>
      <c r="Q7" s="38" t="str">
        <f>VLOOKUP(A7,Primary_Connections_To_Centers!$A$3:$K$116,10,FALSE)</f>
        <v>Yes</v>
      </c>
      <c r="R7" s="60">
        <f t="shared" si="4"/>
        <v>5</v>
      </c>
      <c r="S7" s="58">
        <f t="shared" si="5"/>
        <v>32</v>
      </c>
      <c r="T7" s="65"/>
      <c r="U7" s="73"/>
      <c r="V7" s="64">
        <f t="shared" si="6"/>
        <v>15</v>
      </c>
      <c r="W7" s="64">
        <f t="shared" si="7"/>
        <v>15</v>
      </c>
      <c r="X7" s="64">
        <f t="shared" si="8"/>
        <v>30</v>
      </c>
      <c r="Y7" s="38">
        <f>VLOOKUP(A7,Step_II_Load_CostRecovery_Sum!$A$5:$T$117,14,FALSE)</f>
        <v>0.69</v>
      </c>
      <c r="Z7" s="167">
        <f>VLOOKUP($A7,Step_II_Load_CostRecovery_Sum!$A$5:$T$117,15,FALSE)</f>
        <v>0.47</v>
      </c>
      <c r="AA7" s="38">
        <f t="shared" si="9"/>
        <v>0</v>
      </c>
      <c r="AB7" s="167">
        <f t="shared" si="10"/>
        <v>0</v>
      </c>
      <c r="AC7" s="288">
        <f>VLOOKUP($A7,Step_II_Load_CostRecovery_Sum!$A$5:$AE$117,29,FALSE)</f>
        <v>0.35000000000000003</v>
      </c>
      <c r="AD7" s="289">
        <f>VLOOKUP($A7,Step_II_Load_CostRecovery_Sum!$A$5:$AE$117,30,FALSE)</f>
        <v>0.20726631116687577</v>
      </c>
      <c r="AE7" s="290">
        <f>VLOOKUP($A7,Step_II_Load_CostRecovery_Sum!$A$5:$AE$117,31,FALSE)</f>
        <v>0.2177948557089084</v>
      </c>
      <c r="AF7" s="38">
        <f t="shared" si="11"/>
        <v>0</v>
      </c>
      <c r="AG7" s="166">
        <f t="shared" si="12"/>
        <v>0</v>
      </c>
      <c r="AH7" s="167">
        <f t="shared" si="13"/>
        <v>0</v>
      </c>
      <c r="AI7" s="38">
        <f t="shared" si="14"/>
        <v>60</v>
      </c>
      <c r="AJ7" s="170">
        <f t="shared" si="15"/>
        <v>30</v>
      </c>
      <c r="AK7" s="25">
        <f t="shared" si="16"/>
        <v>30</v>
      </c>
      <c r="AL7" s="167">
        <f t="shared" si="17"/>
        <v>30</v>
      </c>
      <c r="AN7" s="220">
        <f t="shared" si="18"/>
        <v>0</v>
      </c>
      <c r="AO7" s="26">
        <f t="shared" si="19"/>
        <v>0</v>
      </c>
      <c r="AP7" s="209">
        <f t="shared" si="20"/>
        <v>0</v>
      </c>
      <c r="AQ7" s="38">
        <f t="shared" si="21"/>
        <v>15</v>
      </c>
      <c r="AR7" s="25">
        <f t="shared" si="22"/>
        <v>15</v>
      </c>
      <c r="AS7" s="170">
        <f t="shared" si="23"/>
        <v>30</v>
      </c>
      <c r="AT7" s="253" t="str">
        <f t="shared" si="24"/>
        <v>Very Frequent</v>
      </c>
      <c r="AU7" s="251">
        <v>1</v>
      </c>
      <c r="AV7" s="41">
        <v>2</v>
      </c>
      <c r="AW7" s="207">
        <v>2</v>
      </c>
      <c r="AX7" s="175">
        <f>IF(AQ7="Better than 15 min",1,IF(AQ7=15,2,IF(AQ7=30,3,IF(AQ7=60,5,6))))</f>
        <v>2</v>
      </c>
      <c r="AY7" s="41">
        <f>IF(AR7="Better than 15 min",1,IF(AR7=15,2,IF(AR7=30,3,IF(AR7=60,5,6))))</f>
        <v>2</v>
      </c>
      <c r="AZ7" s="207">
        <f t="shared" si="28"/>
        <v>3</v>
      </c>
      <c r="BA7" s="38">
        <f t="shared" si="25"/>
        <v>1</v>
      </c>
      <c r="BB7" s="25">
        <f t="shared" si="26"/>
        <v>0</v>
      </c>
      <c r="BC7" s="167">
        <f t="shared" si="27"/>
        <v>1</v>
      </c>
    </row>
    <row r="8" spans="1:55" ht="12.75">
      <c r="A8" t="s">
        <v>16</v>
      </c>
      <c r="B8" s="79">
        <v>5</v>
      </c>
      <c r="C8" s="5" t="s">
        <v>17</v>
      </c>
      <c r="D8" s="6" t="s">
        <v>4</v>
      </c>
      <c r="E8" s="6" t="s">
        <v>18</v>
      </c>
      <c r="F8" s="9" t="s">
        <v>19</v>
      </c>
      <c r="G8" s="67">
        <f>VLOOKUP($A8,HH_Jobs_CorridorLength!$A$2:$F$116,5,FALSE)</f>
        <v>3201.9975832221207</v>
      </c>
      <c r="H8" s="62">
        <f t="shared" si="0"/>
        <v>10</v>
      </c>
      <c r="I8" s="67">
        <f>VLOOKUP($A8,HH_Jobs_CorridorLength!$A$2:$F$116,6,FALSE)</f>
        <v>23772.441805471903</v>
      </c>
      <c r="J8" s="62">
        <f t="shared" si="1"/>
        <v>10</v>
      </c>
      <c r="K8" s="319">
        <f>VLOOKUP(A8,Low_Income_Minority!$A$3:$J$115,8,FALSE)</f>
        <v>0.08702290061855442</v>
      </c>
      <c r="L8" s="60">
        <f>IF(Minority&gt;=Minority_Thrshld,Min_Pts,0)</f>
        <v>0</v>
      </c>
      <c r="M8" s="321">
        <f>VLOOKUP(A8,Low_Income_Minority!$A$3:$J$115,10,FALSE)</f>
        <v>0.4174225423192973</v>
      </c>
      <c r="N8" s="260">
        <f t="shared" si="2"/>
        <v>0</v>
      </c>
      <c r="O8" s="57" t="str">
        <f>VLOOKUP(A8,Primary_Connections_To_Centers!$A$3:$K$116,9,FALSE)</f>
        <v>Yes</v>
      </c>
      <c r="P8" s="60">
        <f t="shared" si="3"/>
        <v>5</v>
      </c>
      <c r="Q8" s="38" t="str">
        <f>VLOOKUP(A8,Primary_Connections_To_Centers!$A$3:$K$116,10,FALSE)</f>
        <v>Yes</v>
      </c>
      <c r="R8" s="60">
        <f t="shared" si="4"/>
        <v>5</v>
      </c>
      <c r="S8" s="58">
        <f t="shared" si="5"/>
        <v>30</v>
      </c>
      <c r="T8" s="65"/>
      <c r="U8" s="73"/>
      <c r="V8" s="64">
        <f t="shared" si="6"/>
        <v>15</v>
      </c>
      <c r="W8" s="64">
        <f t="shared" si="7"/>
        <v>15</v>
      </c>
      <c r="X8" s="64">
        <f t="shared" si="8"/>
        <v>30</v>
      </c>
      <c r="Y8" s="38">
        <f>VLOOKUP(A8,Step_II_Load_CostRecovery_Sum!$A$5:$T$117,14,FALSE)</f>
        <v>0.81</v>
      </c>
      <c r="Z8" s="167">
        <f>VLOOKUP($A8,Step_II_Load_CostRecovery_Sum!$A$5:$T$117,15,FALSE)</f>
        <v>0.39</v>
      </c>
      <c r="AA8" s="38">
        <f t="shared" si="9"/>
        <v>1</v>
      </c>
      <c r="AB8" s="167">
        <f t="shared" si="10"/>
        <v>0</v>
      </c>
      <c r="AC8" s="288">
        <f>VLOOKUP($A8,Step_II_Load_CostRecovery_Sum!$A$5:$AE$117,29,FALSE)</f>
        <v>0.6974529485570891</v>
      </c>
      <c r="AD8" s="289">
        <f>VLOOKUP($A8,Step_II_Load_CostRecovery_Sum!$A$5:$AE$117,30,FALSE)</f>
        <v>0.3655787327478043</v>
      </c>
      <c r="AE8" s="290">
        <f>VLOOKUP($A8,Step_II_Load_CostRecovery_Sum!$A$5:$AE$117,31,FALSE)</f>
        <v>0.3763378293601004</v>
      </c>
      <c r="AF8" s="38">
        <f t="shared" si="11"/>
        <v>1</v>
      </c>
      <c r="AG8" s="166">
        <f t="shared" si="12"/>
        <v>0</v>
      </c>
      <c r="AH8" s="167">
        <f t="shared" si="13"/>
        <v>1</v>
      </c>
      <c r="AI8" s="38">
        <f t="shared" si="14"/>
        <v>60</v>
      </c>
      <c r="AJ8" s="170">
        <f t="shared" si="15"/>
        <v>30</v>
      </c>
      <c r="AK8" s="25">
        <f t="shared" si="16"/>
        <v>30</v>
      </c>
      <c r="AL8" s="167">
        <f t="shared" si="17"/>
        <v>30</v>
      </c>
      <c r="AN8" s="220">
        <f t="shared" si="18"/>
        <v>1</v>
      </c>
      <c r="AO8" s="26">
        <f t="shared" si="19"/>
        <v>0</v>
      </c>
      <c r="AP8" s="209">
        <f t="shared" si="20"/>
        <v>1</v>
      </c>
      <c r="AQ8" s="38" t="str">
        <f t="shared" si="21"/>
        <v>Better than 15 min</v>
      </c>
      <c r="AR8" s="25">
        <f t="shared" si="22"/>
        <v>15</v>
      </c>
      <c r="AS8" s="170">
        <f t="shared" si="23"/>
        <v>15</v>
      </c>
      <c r="AT8" s="253" t="str">
        <f t="shared" si="24"/>
        <v>Very Frequent</v>
      </c>
      <c r="AU8" s="251">
        <v>1</v>
      </c>
      <c r="AV8" s="41">
        <v>2</v>
      </c>
      <c r="AW8" s="207">
        <v>2</v>
      </c>
      <c r="AX8" s="175">
        <f>IF(AQ8="Better than 15 min",1,IF(AQ8=15,2,IF(AQ8=30,3,IF(AQ8=60,5,0))))</f>
        <v>1</v>
      </c>
      <c r="AY8" s="41">
        <f>IF(AR8="Better than 15 min",1,IF(AR8=15,2,IF(AR8=30,3,IF(AR8=60,5,0))))</f>
        <v>2</v>
      </c>
      <c r="AZ8" s="207">
        <f t="shared" si="28"/>
        <v>2</v>
      </c>
      <c r="BA8" s="38">
        <f t="shared" si="25"/>
        <v>0</v>
      </c>
      <c r="BB8" s="25">
        <f t="shared" si="26"/>
        <v>0</v>
      </c>
      <c r="BC8" s="167">
        <f t="shared" si="27"/>
        <v>0</v>
      </c>
    </row>
    <row r="9" spans="1:55" ht="12.75">
      <c r="A9" t="s">
        <v>59</v>
      </c>
      <c r="B9" s="79">
        <v>6</v>
      </c>
      <c r="C9" s="5" t="s">
        <v>45</v>
      </c>
      <c r="D9" s="6" t="s">
        <v>4</v>
      </c>
      <c r="E9" s="6" t="s">
        <v>60</v>
      </c>
      <c r="F9" s="7" t="s">
        <v>61</v>
      </c>
      <c r="G9" s="67">
        <f>VLOOKUP($A9,HH_Jobs_CorridorLength!$A$2:$F$116,5,FALSE)</f>
        <v>1102.7206370272063</v>
      </c>
      <c r="H9" s="62">
        <f t="shared" si="0"/>
        <v>4</v>
      </c>
      <c r="I9" s="67">
        <f>VLOOKUP($A9,HH_Jobs_CorridorLength!$A$2:$F$116,6,FALSE)</f>
        <v>7720.504313205043</v>
      </c>
      <c r="J9" s="62">
        <f t="shared" si="1"/>
        <v>4</v>
      </c>
      <c r="K9" s="319">
        <f>VLOOKUP(A9,Low_Income_Minority!$A$3:$J$115,8,FALSE)</f>
        <v>0.7289702361835054</v>
      </c>
      <c r="L9" s="60">
        <f>IF(Minority&gt;=Minority_Thrshld,Min_Pts,0)</f>
        <v>5</v>
      </c>
      <c r="M9" s="321">
        <f>VLOOKUP(A9,Low_Income_Minority!$A$3:$J$115,10,FALSE)</f>
        <v>0.9116287666233551</v>
      </c>
      <c r="N9" s="260">
        <f t="shared" si="2"/>
        <v>5</v>
      </c>
      <c r="O9" s="57" t="str">
        <f>VLOOKUP(A9,Primary_Connections_To_Centers!$A$3:$K$116,9,FALSE)</f>
        <v>Yes</v>
      </c>
      <c r="P9" s="60">
        <f t="shared" si="3"/>
        <v>5</v>
      </c>
      <c r="Q9" s="38" t="str">
        <f>VLOOKUP(A9,Primary_Connections_To_Centers!$A$3:$K$116,10,FALSE)</f>
        <v>Yes</v>
      </c>
      <c r="R9" s="60">
        <f t="shared" si="4"/>
        <v>5</v>
      </c>
      <c r="S9" s="58">
        <f t="shared" si="5"/>
        <v>28</v>
      </c>
      <c r="T9" s="65"/>
      <c r="U9" s="73"/>
      <c r="V9" s="64">
        <f t="shared" si="6"/>
        <v>15</v>
      </c>
      <c r="W9" s="64">
        <f t="shared" si="7"/>
        <v>15</v>
      </c>
      <c r="X9" s="64">
        <f t="shared" si="8"/>
        <v>30</v>
      </c>
      <c r="Y9" s="38">
        <f>VLOOKUP(A9,Step_II_Load_CostRecovery_Sum!$A$5:$T$117,14,FALSE)</f>
        <v>0.58</v>
      </c>
      <c r="Z9" s="167">
        <f>VLOOKUP($A9,Step_II_Load_CostRecovery_Sum!$A$5:$T$117,15,FALSE)</f>
        <v>0.52</v>
      </c>
      <c r="AA9" s="38">
        <f t="shared" si="9"/>
        <v>0</v>
      </c>
      <c r="AB9" s="167">
        <f t="shared" si="10"/>
        <v>0</v>
      </c>
      <c r="AC9" s="288">
        <f>VLOOKUP($A9,Step_II_Load_CostRecovery_Sum!$A$5:$AE$117,29,FALSE)</f>
        <v>0.17952478042659975</v>
      </c>
      <c r="AD9" s="289">
        <f>VLOOKUP($A9,Step_II_Load_CostRecovery_Sum!$A$5:$AE$117,30,FALSE)</f>
        <v>0.06732120451693852</v>
      </c>
      <c r="AE9" s="290" t="str">
        <f>VLOOKUP($A9,Step_II_Load_CostRecovery_Sum!$A$5:$AE$117,31,FALSE)</f>
        <v>N/A</v>
      </c>
      <c r="AF9" s="38">
        <f t="shared" si="11"/>
        <v>0</v>
      </c>
      <c r="AG9" s="166">
        <f t="shared" si="12"/>
        <v>0</v>
      </c>
      <c r="AH9" s="167" t="str">
        <f t="shared" si="13"/>
        <v>N/A</v>
      </c>
      <c r="AI9" s="38">
        <f t="shared" si="14"/>
        <v>60</v>
      </c>
      <c r="AJ9" s="170" t="str">
        <f t="shared" si="15"/>
        <v>N/A</v>
      </c>
      <c r="AK9" s="25">
        <f t="shared" si="16"/>
        <v>30</v>
      </c>
      <c r="AL9" s="167">
        <f t="shared" si="17"/>
        <v>30</v>
      </c>
      <c r="AN9" s="220">
        <f t="shared" si="18"/>
        <v>0</v>
      </c>
      <c r="AO9" s="26">
        <f t="shared" si="19"/>
        <v>0</v>
      </c>
      <c r="AP9" s="209">
        <f t="shared" si="20"/>
        <v>0</v>
      </c>
      <c r="AQ9" s="38">
        <f t="shared" si="21"/>
        <v>15</v>
      </c>
      <c r="AR9" s="25">
        <f t="shared" si="22"/>
        <v>15</v>
      </c>
      <c r="AS9" s="170">
        <f t="shared" si="23"/>
        <v>30</v>
      </c>
      <c r="AT9" s="253" t="str">
        <f t="shared" si="24"/>
        <v>Very Frequent</v>
      </c>
      <c r="AU9" s="251">
        <v>3</v>
      </c>
      <c r="AV9" s="41">
        <v>4</v>
      </c>
      <c r="AW9" s="207">
        <v>4</v>
      </c>
      <c r="AX9" s="175">
        <f>IF(AQ9="Better than 15 min",1,IF(AQ9=15,2,IF(AQ9=30,3,IF(AQ9=60,5,0))))</f>
        <v>2</v>
      </c>
      <c r="AY9" s="41">
        <f>IF(AR9="Better than 15 min",1,IF(AR9=15,2,IF(AR9=30,3,IF(AR9=60,5,0))))</f>
        <v>2</v>
      </c>
      <c r="AZ9" s="207">
        <f t="shared" si="28"/>
        <v>3</v>
      </c>
      <c r="BA9" s="38">
        <f t="shared" si="25"/>
        <v>-1</v>
      </c>
      <c r="BB9" s="25">
        <f t="shared" si="26"/>
        <v>-2</v>
      </c>
      <c r="BC9" s="167">
        <f t="shared" si="27"/>
        <v>-1</v>
      </c>
    </row>
    <row r="10" spans="1:55" ht="12.75">
      <c r="A10" t="s">
        <v>53</v>
      </c>
      <c r="B10" s="79">
        <v>7</v>
      </c>
      <c r="C10" s="5" t="s">
        <v>54</v>
      </c>
      <c r="D10" s="6" t="s">
        <v>4</v>
      </c>
      <c r="E10" s="6" t="s">
        <v>55</v>
      </c>
      <c r="F10" s="6">
        <v>27</v>
      </c>
      <c r="G10" s="67">
        <f>VLOOKUP($A10,HH_Jobs_CorridorLength!$A$2:$F$116,5,FALSE)</f>
        <v>2738.3093476887184</v>
      </c>
      <c r="H10" s="62">
        <f t="shared" si="0"/>
        <v>7</v>
      </c>
      <c r="I10" s="67">
        <f>VLOOKUP($A10,HH_Jobs_CorridorLength!$A$2:$F$116,6,FALSE)</f>
        <v>18380.51358151769</v>
      </c>
      <c r="J10" s="62">
        <f t="shared" si="1"/>
        <v>10</v>
      </c>
      <c r="K10" s="319">
        <f>VLOOKUP(A10,Low_Income_Minority!$A$3:$J$115,8,FALSE)</f>
        <v>0.8446929351704208</v>
      </c>
      <c r="L10" s="60">
        <f>IF(Minority&gt;=Minority_Thrshld,Min_Pts,0)</f>
        <v>5</v>
      </c>
      <c r="M10" s="321">
        <f>VLOOKUP(A10,Low_Income_Minority!$A$3:$J$115,10,FALSE)</f>
        <v>0.7802626905653054</v>
      </c>
      <c r="N10" s="260">
        <f t="shared" si="2"/>
        <v>5</v>
      </c>
      <c r="O10" s="57" t="str">
        <f>VLOOKUP(A10,Primary_Connections_To_Centers!$A$3:$K$116,9,FALSE)</f>
        <v>No</v>
      </c>
      <c r="P10" s="60">
        <f t="shared" si="3"/>
        <v>0</v>
      </c>
      <c r="Q10" s="38" t="str">
        <f>VLOOKUP(A10,Primary_Connections_To_Centers!$A$3:$K$116,10,FALSE)</f>
        <v>No</v>
      </c>
      <c r="R10" s="60">
        <f t="shared" si="4"/>
        <v>0</v>
      </c>
      <c r="S10" s="58">
        <f t="shared" si="5"/>
        <v>27</v>
      </c>
      <c r="T10" s="65"/>
      <c r="U10" s="73"/>
      <c r="V10" s="64">
        <f t="shared" si="6"/>
        <v>15</v>
      </c>
      <c r="W10" s="64">
        <f t="shared" si="7"/>
        <v>15</v>
      </c>
      <c r="X10" s="64">
        <f t="shared" si="8"/>
        <v>30</v>
      </c>
      <c r="Y10" s="38">
        <f>VLOOKUP(A10,Step_II_Load_CostRecovery_Sum!$A$5:$T$117,14,FALSE)</f>
        <v>0.62</v>
      </c>
      <c r="Z10" s="167">
        <f>VLOOKUP($A10,Step_II_Load_CostRecovery_Sum!$A$5:$T$117,15,FALSE)</f>
        <v>0.44</v>
      </c>
      <c r="AA10" s="38">
        <f t="shared" si="9"/>
        <v>0</v>
      </c>
      <c r="AB10" s="167">
        <f t="shared" si="10"/>
        <v>0</v>
      </c>
      <c r="AC10" s="288">
        <f>VLOOKUP($A10,Step_II_Load_CostRecovery_Sum!$A$5:$AE$117,29,FALSE)</f>
        <v>0.3080175658720201</v>
      </c>
      <c r="AD10" s="289">
        <f>VLOOKUP($A10,Step_II_Load_CostRecovery_Sum!$A$5:$AE$117,30,FALSE)</f>
        <v>0.2347788582183187</v>
      </c>
      <c r="AE10" s="290">
        <f>VLOOKUP($A10,Step_II_Load_CostRecovery_Sum!$A$5:$AE$117,31,FALSE)</f>
        <v>0.1266499372647428</v>
      </c>
      <c r="AF10" s="38">
        <f t="shared" si="11"/>
        <v>0</v>
      </c>
      <c r="AG10" s="166">
        <f t="shared" si="12"/>
        <v>0</v>
      </c>
      <c r="AH10" s="167">
        <f t="shared" si="13"/>
        <v>0</v>
      </c>
      <c r="AI10" s="38">
        <f t="shared" si="14"/>
        <v>0</v>
      </c>
      <c r="AJ10" s="170">
        <f t="shared" si="15"/>
        <v>60</v>
      </c>
      <c r="AK10" s="25">
        <f t="shared" si="16"/>
        <v>30</v>
      </c>
      <c r="AL10" s="167">
        <f t="shared" si="17"/>
        <v>30</v>
      </c>
      <c r="AN10" s="220">
        <f t="shared" si="18"/>
        <v>0</v>
      </c>
      <c r="AO10" s="26">
        <f t="shared" si="19"/>
        <v>0</v>
      </c>
      <c r="AP10" s="209">
        <f t="shared" si="20"/>
        <v>0</v>
      </c>
      <c r="AQ10" s="38">
        <f t="shared" si="21"/>
        <v>15</v>
      </c>
      <c r="AR10" s="25">
        <f t="shared" si="22"/>
        <v>15</v>
      </c>
      <c r="AS10" s="170">
        <f t="shared" si="23"/>
        <v>30</v>
      </c>
      <c r="AT10" s="253" t="str">
        <f t="shared" si="24"/>
        <v>Very Frequent</v>
      </c>
      <c r="AU10" s="251">
        <v>2</v>
      </c>
      <c r="AV10" s="41">
        <v>3</v>
      </c>
      <c r="AW10" s="207">
        <v>5</v>
      </c>
      <c r="AX10" s="175">
        <f>IF(AQ10="Better than 15 min",1,IF(AQ10=15,2,IF(AQ10=30,3,IF(AQ10=60,5,6))))</f>
        <v>2</v>
      </c>
      <c r="AY10" s="41">
        <f>IF(AR10="Better than 15 min",1,IF(AR10=15,2,IF(AR10=30,3,IF(AR10=60,5,6))))</f>
        <v>2</v>
      </c>
      <c r="AZ10" s="207">
        <f t="shared" si="28"/>
        <v>3</v>
      </c>
      <c r="BA10" s="38">
        <f t="shared" si="25"/>
        <v>0</v>
      </c>
      <c r="BB10" s="25">
        <f t="shared" si="26"/>
        <v>-1</v>
      </c>
      <c r="BC10" s="167">
        <f t="shared" si="27"/>
        <v>-2</v>
      </c>
    </row>
    <row r="11" spans="1:55" ht="12.75">
      <c r="A11" t="s">
        <v>23</v>
      </c>
      <c r="B11" s="79">
        <v>8</v>
      </c>
      <c r="C11" s="5" t="s">
        <v>21</v>
      </c>
      <c r="D11" s="6" t="s">
        <v>4</v>
      </c>
      <c r="E11" s="6" t="s">
        <v>24</v>
      </c>
      <c r="F11" s="10">
        <v>49</v>
      </c>
      <c r="G11" s="67">
        <f>VLOOKUP($A11,HH_Jobs_CorridorLength!$A$2:$F$116,5,FALSE)</f>
        <v>2836.9087652189005</v>
      </c>
      <c r="H11" s="62">
        <f t="shared" si="0"/>
        <v>7</v>
      </c>
      <c r="I11" s="67">
        <f>VLOOKUP($A11,HH_Jobs_CorridorLength!$A$2:$F$116,6,FALSE)</f>
        <v>11282.40825011929</v>
      </c>
      <c r="J11" s="62">
        <f t="shared" si="1"/>
        <v>4</v>
      </c>
      <c r="K11" s="319">
        <f>VLOOKUP(A11,Low_Income_Minority!$A$3:$J$115,8,FALSE)</f>
        <v>0.41896568326580574</v>
      </c>
      <c r="L11" s="60">
        <f>IF(Minority&gt;=Minority_Thrshld,Min_Pts,0)</f>
        <v>0</v>
      </c>
      <c r="M11" s="321">
        <f>VLOOKUP(A11,Low_Income_Minority!$A$3:$J$115,10,FALSE)</f>
        <v>0.936251943796016</v>
      </c>
      <c r="N11" s="260">
        <f t="shared" si="2"/>
        <v>5</v>
      </c>
      <c r="O11" s="57" t="str">
        <f>VLOOKUP(A11,Primary_Connections_To_Centers!$A$3:$K$116,9,FALSE)</f>
        <v>Yes</v>
      </c>
      <c r="P11" s="60">
        <f t="shared" si="3"/>
        <v>5</v>
      </c>
      <c r="Q11" s="38" t="str">
        <f>VLOOKUP(A11,Primary_Connections_To_Centers!$A$3:$K$116,10,FALSE)</f>
        <v>Yes</v>
      </c>
      <c r="R11" s="60">
        <f t="shared" si="4"/>
        <v>5</v>
      </c>
      <c r="S11" s="58">
        <f t="shared" si="5"/>
        <v>26</v>
      </c>
      <c r="T11" s="65"/>
      <c r="U11" s="73"/>
      <c r="V11" s="64">
        <f t="shared" si="6"/>
        <v>15</v>
      </c>
      <c r="W11" s="64">
        <f t="shared" si="7"/>
        <v>15</v>
      </c>
      <c r="X11" s="64">
        <f t="shared" si="8"/>
        <v>30</v>
      </c>
      <c r="Y11" s="38">
        <f>VLOOKUP(A11,Step_II_Load_CostRecovery_Sum!$A$5:$T$117,14,FALSE)</f>
        <v>0.64</v>
      </c>
      <c r="Z11" s="167">
        <f>VLOOKUP($A11,Step_II_Load_CostRecovery_Sum!$A$5:$T$117,15,FALSE)</f>
        <v>0.61</v>
      </c>
      <c r="AA11" s="38">
        <f t="shared" si="9"/>
        <v>0</v>
      </c>
      <c r="AB11" s="167">
        <f t="shared" si="10"/>
        <v>0</v>
      </c>
      <c r="AC11" s="288">
        <f>VLOOKUP($A11,Step_II_Load_CostRecovery_Sum!$A$5:$AE$117,29,FALSE)</f>
        <v>0.3947051442910916</v>
      </c>
      <c r="AD11" s="289">
        <f>VLOOKUP($A11,Step_II_Load_CostRecovery_Sum!$A$5:$AE$117,30,FALSE)</f>
        <v>0.36573243412797996</v>
      </c>
      <c r="AE11" s="290">
        <f>VLOOKUP($A11,Step_II_Load_CostRecovery_Sum!$A$5:$AE$117,31,FALSE)</f>
        <v>0.6583030112923463</v>
      </c>
      <c r="AF11" s="38">
        <f t="shared" si="11"/>
        <v>0</v>
      </c>
      <c r="AG11" s="166">
        <f t="shared" si="12"/>
        <v>0</v>
      </c>
      <c r="AH11" s="167">
        <f t="shared" si="13"/>
        <v>1</v>
      </c>
      <c r="AI11" s="38">
        <f t="shared" si="14"/>
        <v>60</v>
      </c>
      <c r="AJ11" s="170">
        <f t="shared" si="15"/>
        <v>30</v>
      </c>
      <c r="AK11" s="25">
        <f t="shared" si="16"/>
        <v>30</v>
      </c>
      <c r="AL11" s="167">
        <f t="shared" si="17"/>
        <v>30</v>
      </c>
      <c r="AN11" s="220">
        <f t="shared" si="18"/>
        <v>0</v>
      </c>
      <c r="AO11" s="26">
        <f t="shared" si="19"/>
        <v>0</v>
      </c>
      <c r="AP11" s="209">
        <f t="shared" si="20"/>
        <v>1</v>
      </c>
      <c r="AQ11" s="38">
        <f t="shared" si="21"/>
        <v>15</v>
      </c>
      <c r="AR11" s="25">
        <f t="shared" si="22"/>
        <v>15</v>
      </c>
      <c r="AS11" s="170">
        <f t="shared" si="23"/>
        <v>15</v>
      </c>
      <c r="AT11" s="253" t="str">
        <f t="shared" si="24"/>
        <v>Very Frequent</v>
      </c>
      <c r="AU11" s="251">
        <v>2</v>
      </c>
      <c r="AV11" s="41">
        <v>2</v>
      </c>
      <c r="AW11" s="207">
        <v>2</v>
      </c>
      <c r="AX11" s="175">
        <f>IF(AQ11="Better than 15 min",1,IF(AQ11=15,2,IF(AQ11=30,3,IF(AQ11=60,5,6))))</f>
        <v>2</v>
      </c>
      <c r="AY11" s="41">
        <f>IF(AR11="Better than 15 min",1,IF(AR11=15,2,IF(AR11=30,3,IF(AR11=60,5,6))))</f>
        <v>2</v>
      </c>
      <c r="AZ11" s="207">
        <f t="shared" si="28"/>
        <v>2</v>
      </c>
      <c r="BA11" s="38">
        <f t="shared" si="25"/>
        <v>0</v>
      </c>
      <c r="BB11" s="25">
        <f t="shared" si="26"/>
        <v>0</v>
      </c>
      <c r="BC11" s="167">
        <f t="shared" si="27"/>
        <v>0</v>
      </c>
    </row>
    <row r="12" spans="1:55" ht="12.75">
      <c r="A12" t="s">
        <v>72</v>
      </c>
      <c r="B12" s="79">
        <v>9</v>
      </c>
      <c r="C12" s="5" t="s">
        <v>73</v>
      </c>
      <c r="D12" s="6" t="s">
        <v>4</v>
      </c>
      <c r="E12" s="6" t="s">
        <v>74</v>
      </c>
      <c r="F12" s="10">
        <v>13</v>
      </c>
      <c r="G12" s="67">
        <f>VLOOKUP($A12,HH_Jobs_CorridorLength!$A$2:$F$116,5,FALSE)</f>
        <v>3593.558549244447</v>
      </c>
      <c r="H12" s="62">
        <f t="shared" si="0"/>
        <v>10</v>
      </c>
      <c r="I12" s="67">
        <f>VLOOKUP($A12,HH_Jobs_CorridorLength!$A$2:$F$116,6,FALSE)</f>
        <v>18111.092544696723</v>
      </c>
      <c r="J12" s="62">
        <f t="shared" si="1"/>
        <v>10</v>
      </c>
      <c r="K12" s="319">
        <f>VLOOKUP(A12,Low_Income_Minority!$A$3:$J$115,8,FALSE)</f>
        <v>0</v>
      </c>
      <c r="L12" s="60">
        <f>IF(Minority&gt;=Minority_Thrshld,Min_Pts,0)</f>
        <v>0</v>
      </c>
      <c r="M12" s="321">
        <f>VLOOKUP(A12,Low_Income_Minority!$A$3:$J$115,10,FALSE)</f>
        <v>0.8298108125911626</v>
      </c>
      <c r="N12" s="260">
        <f t="shared" si="2"/>
        <v>5</v>
      </c>
      <c r="O12" s="57" t="str">
        <f>VLOOKUP(A12,Primary_Connections_To_Centers!$A$3:$K$116,9,FALSE)</f>
        <v>No</v>
      </c>
      <c r="P12" s="60">
        <f t="shared" si="3"/>
        <v>0</v>
      </c>
      <c r="Q12" s="38" t="str">
        <f>VLOOKUP(A12,Primary_Connections_To_Centers!$A$3:$K$116,10,FALSE)</f>
        <v>No</v>
      </c>
      <c r="R12" s="60">
        <f t="shared" si="4"/>
        <v>0</v>
      </c>
      <c r="S12" s="58">
        <f t="shared" si="5"/>
        <v>25</v>
      </c>
      <c r="T12" s="65"/>
      <c r="U12" s="73"/>
      <c r="V12" s="64">
        <f t="shared" si="6"/>
        <v>15</v>
      </c>
      <c r="W12" s="64">
        <f t="shared" si="7"/>
        <v>15</v>
      </c>
      <c r="X12" s="64">
        <f t="shared" si="8"/>
        <v>30</v>
      </c>
      <c r="Y12" s="38">
        <f>VLOOKUP(A12,Step_II_Load_CostRecovery_Sum!$A$5:$T$117,14,FALSE)</f>
        <v>0.72</v>
      </c>
      <c r="Z12" s="167">
        <f>VLOOKUP($A12,Step_II_Load_CostRecovery_Sum!$A$5:$T$117,15,FALSE)</f>
        <v>1.38</v>
      </c>
      <c r="AA12" s="38">
        <f t="shared" si="9"/>
        <v>0</v>
      </c>
      <c r="AB12" s="167">
        <f t="shared" si="10"/>
        <v>1</v>
      </c>
      <c r="AC12" s="288">
        <f>VLOOKUP($A12,Step_II_Load_CostRecovery_Sum!$A$5:$AE$117,29,FALSE)</f>
        <v>0.770439146800502</v>
      </c>
      <c r="AD12" s="289">
        <f>VLOOKUP($A12,Step_II_Load_CostRecovery_Sum!$A$5:$AE$117,30,FALSE)</f>
        <v>1.0151207653701382</v>
      </c>
      <c r="AE12" s="290">
        <f>VLOOKUP($A12,Step_II_Load_CostRecovery_Sum!$A$5:$AE$117,31,FALSE)</f>
        <v>0.38732747804265993</v>
      </c>
      <c r="AF12" s="38">
        <f t="shared" si="11"/>
        <v>1</v>
      </c>
      <c r="AG12" s="166">
        <f t="shared" si="12"/>
        <v>2</v>
      </c>
      <c r="AH12" s="167">
        <f t="shared" si="13"/>
        <v>1</v>
      </c>
      <c r="AI12" s="38">
        <f t="shared" si="14"/>
        <v>0</v>
      </c>
      <c r="AJ12" s="170">
        <f t="shared" si="15"/>
        <v>30</v>
      </c>
      <c r="AK12" s="25">
        <f t="shared" si="16"/>
        <v>30</v>
      </c>
      <c r="AL12" s="167">
        <f t="shared" si="17"/>
        <v>30</v>
      </c>
      <c r="AN12" s="220">
        <f t="shared" si="18"/>
        <v>1</v>
      </c>
      <c r="AO12" s="26">
        <f t="shared" si="19"/>
        <v>2</v>
      </c>
      <c r="AP12" s="209">
        <f t="shared" si="20"/>
        <v>1</v>
      </c>
      <c r="AQ12" s="38" t="str">
        <f t="shared" si="21"/>
        <v>Better than 15 min</v>
      </c>
      <c r="AR12" s="25" t="str">
        <f t="shared" si="22"/>
        <v>Better than 15 min</v>
      </c>
      <c r="AS12" s="170">
        <f t="shared" si="23"/>
        <v>15</v>
      </c>
      <c r="AT12" s="253" t="str">
        <f t="shared" si="24"/>
        <v>Very Frequent</v>
      </c>
      <c r="AU12" s="251">
        <v>1</v>
      </c>
      <c r="AV12" s="41">
        <v>2</v>
      </c>
      <c r="AW12" s="207">
        <v>2</v>
      </c>
      <c r="AX12" s="175">
        <f>IF(AQ12="Better than 15 min",1,IF(AQ12=15,2,IF(AQ12=30,3,IF(AQ12=60,5,0))))</f>
        <v>1</v>
      </c>
      <c r="AY12" s="41">
        <f>IF(AR12="Better than 15 min",1,IF(AR12=15,2,IF(AR12=30,3,IF(AR12=60,5,0))))</f>
        <v>1</v>
      </c>
      <c r="AZ12" s="207">
        <f t="shared" si="28"/>
        <v>2</v>
      </c>
      <c r="BA12" s="38">
        <f t="shared" si="25"/>
        <v>0</v>
      </c>
      <c r="BB12" s="25">
        <f t="shared" si="26"/>
        <v>-1</v>
      </c>
      <c r="BC12" s="167">
        <f t="shared" si="27"/>
        <v>0</v>
      </c>
    </row>
    <row r="13" spans="1:55" ht="12" customHeight="1">
      <c r="A13" t="s">
        <v>10</v>
      </c>
      <c r="B13" s="79">
        <v>10</v>
      </c>
      <c r="C13" s="5" t="s">
        <v>11</v>
      </c>
      <c r="D13" s="6" t="s">
        <v>4</v>
      </c>
      <c r="E13" s="6" t="s">
        <v>9</v>
      </c>
      <c r="F13" s="7">
        <v>11</v>
      </c>
      <c r="G13" s="67">
        <f>VLOOKUP($A13,HH_Jobs_CorridorLength!$A$2:$F$116,5,FALSE)</f>
        <v>3620.175438596491</v>
      </c>
      <c r="H13" s="62">
        <f t="shared" si="0"/>
        <v>10</v>
      </c>
      <c r="I13" s="67">
        <f>VLOOKUP($A13,HH_Jobs_CorridorLength!$A$2:$F$116,6,FALSE)</f>
        <v>18004.912280701752</v>
      </c>
      <c r="J13" s="62">
        <f t="shared" si="1"/>
        <v>10</v>
      </c>
      <c r="K13" s="319">
        <f>VLOOKUP(A13,Low_Income_Minority!$A$3:$J$115,8,FALSE)</f>
        <v>0.28208945831724974</v>
      </c>
      <c r="L13" s="60">
        <f>IF(Minority&gt;=Minority_Thrshld,Min_Pts,0)</f>
        <v>0</v>
      </c>
      <c r="M13" s="321">
        <f>VLOOKUP(A13,Low_Income_Minority!$A$3:$J$115,10,FALSE)</f>
        <v>0.532332190256477</v>
      </c>
      <c r="N13" s="260">
        <f t="shared" si="2"/>
        <v>0</v>
      </c>
      <c r="O13" s="57" t="str">
        <f>VLOOKUP(A13,Primary_Connections_To_Centers!$A$3:$K$116,9,FALSE)</f>
        <v>Yes</v>
      </c>
      <c r="P13" s="60">
        <f t="shared" si="3"/>
        <v>5</v>
      </c>
      <c r="Q13" s="38" t="str">
        <f>VLOOKUP(A13,Primary_Connections_To_Centers!$A$3:$K$116,10,FALSE)</f>
        <v>No</v>
      </c>
      <c r="R13" s="60">
        <f t="shared" si="4"/>
        <v>0</v>
      </c>
      <c r="S13" s="58">
        <f t="shared" si="5"/>
        <v>25</v>
      </c>
      <c r="T13" s="65"/>
      <c r="U13" s="73"/>
      <c r="V13" s="64">
        <f t="shared" si="6"/>
        <v>15</v>
      </c>
      <c r="W13" s="64">
        <f t="shared" si="7"/>
        <v>15</v>
      </c>
      <c r="X13" s="64">
        <f t="shared" si="8"/>
        <v>30</v>
      </c>
      <c r="Y13" s="38">
        <f>VLOOKUP(A13,Step_II_Load_CostRecovery_Sum!$A$5:$T$117,14,FALSE)</f>
        <v>0.75</v>
      </c>
      <c r="Z13" s="167">
        <f>VLOOKUP($A13,Step_II_Load_CostRecovery_Sum!$A$5:$T$117,15,FALSE)</f>
        <v>0.78</v>
      </c>
      <c r="AA13" s="38">
        <f t="shared" si="9"/>
        <v>0</v>
      </c>
      <c r="AB13" s="167">
        <f t="shared" si="10"/>
        <v>0</v>
      </c>
      <c r="AC13" s="288">
        <f>VLOOKUP($A13,Step_II_Load_CostRecovery_Sum!$A$5:$AE$117,29,FALSE)</f>
        <v>0.4279924717691343</v>
      </c>
      <c r="AD13" s="289">
        <f>VLOOKUP($A13,Step_II_Load_CostRecovery_Sum!$A$5:$AE$117,30,FALSE)</f>
        <v>0.21533563362609787</v>
      </c>
      <c r="AE13" s="290">
        <f>VLOOKUP($A13,Step_II_Load_CostRecovery_Sum!$A$5:$AE$117,31,FALSE)</f>
        <v>0.2767393350062735</v>
      </c>
      <c r="AF13" s="38">
        <f t="shared" si="11"/>
        <v>0</v>
      </c>
      <c r="AG13" s="166">
        <f t="shared" si="12"/>
        <v>0</v>
      </c>
      <c r="AH13" s="167">
        <f t="shared" si="13"/>
        <v>0</v>
      </c>
      <c r="AI13" s="38">
        <f t="shared" si="14"/>
        <v>0</v>
      </c>
      <c r="AJ13" s="170">
        <f t="shared" si="15"/>
        <v>30</v>
      </c>
      <c r="AK13" s="25">
        <f t="shared" si="16"/>
        <v>30</v>
      </c>
      <c r="AL13" s="167">
        <f t="shared" si="17"/>
        <v>30</v>
      </c>
      <c r="AN13" s="220">
        <f t="shared" si="18"/>
        <v>0</v>
      </c>
      <c r="AO13" s="26">
        <f t="shared" si="19"/>
        <v>0</v>
      </c>
      <c r="AP13" s="209">
        <f t="shared" si="20"/>
        <v>0</v>
      </c>
      <c r="AQ13" s="38">
        <f t="shared" si="21"/>
        <v>15</v>
      </c>
      <c r="AR13" s="25">
        <f t="shared" si="22"/>
        <v>15</v>
      </c>
      <c r="AS13" s="170">
        <f t="shared" si="23"/>
        <v>30</v>
      </c>
      <c r="AT13" s="253" t="str">
        <f t="shared" si="24"/>
        <v>Very Frequent</v>
      </c>
      <c r="AU13" s="251">
        <v>2</v>
      </c>
      <c r="AV13" s="41">
        <v>3</v>
      </c>
      <c r="AW13" s="207">
        <v>3</v>
      </c>
      <c r="AX13" s="175">
        <f>IF(AQ13="Better than 15 min",1,IF(AQ13=15,2,IF(AQ13=30,3,IF(AQ13=60,5,0))))</f>
        <v>2</v>
      </c>
      <c r="AY13" s="41">
        <f>IF(AR13="Better than 15 min",1,IF(AR13=15,2,IF(AR13=30,3,IF(AR13=60,5,0))))</f>
        <v>2</v>
      </c>
      <c r="AZ13" s="207">
        <f t="shared" si="28"/>
        <v>3</v>
      </c>
      <c r="BA13" s="38">
        <f t="shared" si="25"/>
        <v>0</v>
      </c>
      <c r="BB13" s="25">
        <f t="shared" si="26"/>
        <v>-1</v>
      </c>
      <c r="BC13" s="167">
        <f t="shared" si="27"/>
        <v>0</v>
      </c>
    </row>
    <row r="14" spans="1:55" ht="12.75">
      <c r="A14" s="21" t="s">
        <v>56</v>
      </c>
      <c r="B14" s="79">
        <v>11</v>
      </c>
      <c r="C14" s="5" t="s">
        <v>57</v>
      </c>
      <c r="D14" s="6" t="s">
        <v>4</v>
      </c>
      <c r="E14" s="6" t="s">
        <v>58</v>
      </c>
      <c r="F14" s="7">
        <v>24</v>
      </c>
      <c r="G14" s="67">
        <f>VLOOKUP($A14,HH_Jobs_CorridorLength!$A$2:$F$116,5,FALSE)</f>
        <v>2138.837209302326</v>
      </c>
      <c r="H14" s="10">
        <f t="shared" si="0"/>
        <v>7</v>
      </c>
      <c r="I14" s="67">
        <f>VLOOKUP($A14,HH_Jobs_CorridorLength!$A$2:$F$116,6,FALSE)</f>
        <v>11980.93023255814</v>
      </c>
      <c r="J14" s="10">
        <f t="shared" si="1"/>
        <v>7</v>
      </c>
      <c r="K14" s="319">
        <f>VLOOKUP(A14,Low_Income_Minority!$A$3:$J$115,8,FALSE)</f>
        <v>0</v>
      </c>
      <c r="L14" s="60">
        <f>IF(Minority&gt;=Minority_Thrshld,Min_Pts,0)</f>
        <v>0</v>
      </c>
      <c r="M14" s="321">
        <f>VLOOKUP(A14,Low_Income_Minority!$A$3:$J$115,10,FALSE)</f>
        <v>0.7676686727495823</v>
      </c>
      <c r="N14" s="260">
        <f t="shared" si="2"/>
        <v>5</v>
      </c>
      <c r="O14" s="12" t="str">
        <f>VLOOKUP(A14,Primary_Connections_To_Centers!$A$3:$K$116,9,FALSE)</f>
        <v>Yes</v>
      </c>
      <c r="P14" s="60">
        <f t="shared" si="3"/>
        <v>5</v>
      </c>
      <c r="Q14" s="5" t="str">
        <f>VLOOKUP(A14,Primary_Connections_To_Centers!$A$3:$K$116,10,FALSE)</f>
        <v>No</v>
      </c>
      <c r="R14" s="60">
        <f t="shared" si="4"/>
        <v>0</v>
      </c>
      <c r="S14" s="65">
        <f t="shared" si="5"/>
        <v>24</v>
      </c>
      <c r="T14" s="174"/>
      <c r="U14" s="280"/>
      <c r="V14" s="7">
        <f t="shared" si="6"/>
        <v>15</v>
      </c>
      <c r="W14" s="64">
        <f t="shared" si="7"/>
        <v>30</v>
      </c>
      <c r="X14" s="64">
        <f t="shared" si="8"/>
        <v>30</v>
      </c>
      <c r="Y14" s="5">
        <f>VLOOKUP(A14,Step_II_Load_CostRecovery_Sum!$A$5:$T$117,14,FALSE)</f>
        <v>0.7</v>
      </c>
      <c r="Z14" s="282">
        <f>VLOOKUP($A14,Step_II_Load_CostRecovery_Sum!$A$5:$T$117,15,FALSE)</f>
        <v>0.43</v>
      </c>
      <c r="AA14" s="38">
        <f t="shared" si="9"/>
        <v>0</v>
      </c>
      <c r="AB14" s="167">
        <f t="shared" si="10"/>
        <v>0</v>
      </c>
      <c r="AC14" s="288">
        <f>VLOOKUP($A14,Step_II_Load_CostRecovery_Sum!$A$5:$AE$117,29,FALSE)</f>
        <v>0.3711668757841907</v>
      </c>
      <c r="AD14" s="289">
        <f>VLOOKUP($A14,Step_II_Load_CostRecovery_Sum!$A$5:$AE$117,30,FALSE)</f>
        <v>0.24100376411543287</v>
      </c>
      <c r="AE14" s="290">
        <f>VLOOKUP($A14,Step_II_Load_CostRecovery_Sum!$A$5:$AE$117,31,FALSE)</f>
        <v>0.10374843161856964</v>
      </c>
      <c r="AF14" s="38">
        <f t="shared" si="11"/>
        <v>0</v>
      </c>
      <c r="AG14" s="166">
        <f t="shared" si="12"/>
        <v>0</v>
      </c>
      <c r="AH14" s="167">
        <f t="shared" si="13"/>
        <v>0</v>
      </c>
      <c r="AI14" s="5">
        <f t="shared" si="14"/>
        <v>0</v>
      </c>
      <c r="AJ14" s="170">
        <f t="shared" si="15"/>
        <v>60</v>
      </c>
      <c r="AK14" s="6">
        <f t="shared" si="16"/>
        <v>30</v>
      </c>
      <c r="AL14" s="282">
        <f t="shared" si="17"/>
        <v>30</v>
      </c>
      <c r="AM14" s="21"/>
      <c r="AN14" s="283">
        <f t="shared" si="18"/>
        <v>0</v>
      </c>
      <c r="AO14" s="266">
        <f t="shared" si="19"/>
        <v>0</v>
      </c>
      <c r="AP14" s="209">
        <f t="shared" si="20"/>
        <v>0</v>
      </c>
      <c r="AQ14" s="5">
        <f t="shared" si="21"/>
        <v>15</v>
      </c>
      <c r="AR14" s="6">
        <f t="shared" si="22"/>
        <v>30</v>
      </c>
      <c r="AS14" s="17">
        <f t="shared" si="23"/>
        <v>30</v>
      </c>
      <c r="AT14" s="31" t="str">
        <f t="shared" si="24"/>
        <v>Frequent</v>
      </c>
      <c r="AU14" s="284">
        <v>2</v>
      </c>
      <c r="AV14" s="182">
        <v>3</v>
      </c>
      <c r="AW14" s="285">
        <v>3</v>
      </c>
      <c r="AX14" s="281">
        <f aca="true" t="shared" si="29" ref="AX14:AY16">IF(AQ14="Better than 15 min",1,IF(AQ14=15,2,IF(AQ14=30,3,IF(AQ14=60,5,6))))</f>
        <v>2</v>
      </c>
      <c r="AY14" s="182">
        <f t="shared" si="29"/>
        <v>3</v>
      </c>
      <c r="AZ14" s="285">
        <f t="shared" si="28"/>
        <v>3</v>
      </c>
      <c r="BA14" s="5">
        <f t="shared" si="25"/>
        <v>0</v>
      </c>
      <c r="BB14" s="6">
        <f t="shared" si="26"/>
        <v>0</v>
      </c>
      <c r="BC14" s="282">
        <f t="shared" si="27"/>
        <v>0</v>
      </c>
    </row>
    <row r="15" spans="1:55" ht="12.75">
      <c r="A15" t="s">
        <v>31</v>
      </c>
      <c r="B15" s="79">
        <v>12</v>
      </c>
      <c r="C15" s="5" t="s">
        <v>3</v>
      </c>
      <c r="D15" s="6" t="s">
        <v>4</v>
      </c>
      <c r="E15" s="6" t="s">
        <v>32</v>
      </c>
      <c r="F15" s="8" t="s">
        <v>33</v>
      </c>
      <c r="G15" s="67">
        <f>VLOOKUP($A15,HH_Jobs_CorridorLength!$A$2:$F$116,5,FALSE)</f>
        <v>2806.235803053211</v>
      </c>
      <c r="H15" s="62">
        <f t="shared" si="0"/>
        <v>7</v>
      </c>
      <c r="I15" s="67">
        <f>VLOOKUP($A15,HH_Jobs_CorridorLength!$A$2:$F$116,6,FALSE)</f>
        <v>12021.966984164557</v>
      </c>
      <c r="J15" s="62">
        <f t="shared" si="1"/>
        <v>7</v>
      </c>
      <c r="K15" s="319">
        <f>VLOOKUP(A15,Low_Income_Minority!$A$3:$J$115,8,FALSE)</f>
        <v>0</v>
      </c>
      <c r="L15" s="60">
        <f>IF(Minority&gt;=Minority_Thrshld,Min_Pts,0)</f>
        <v>0</v>
      </c>
      <c r="M15" s="321">
        <f>VLOOKUP(A15,Low_Income_Minority!$A$3:$J$115,10,FALSE)</f>
        <v>0.2771623278425956</v>
      </c>
      <c r="N15" s="260">
        <f t="shared" si="2"/>
        <v>0</v>
      </c>
      <c r="O15" s="57" t="str">
        <f>VLOOKUP(A15,Primary_Connections_To_Centers!$A$3:$K$116,9,FALSE)</f>
        <v>Yes</v>
      </c>
      <c r="P15" s="60">
        <f t="shared" si="3"/>
        <v>5</v>
      </c>
      <c r="Q15" s="38" t="str">
        <f>VLOOKUP(A15,Primary_Connections_To_Centers!$A$3:$K$116,10,FALSE)</f>
        <v>Yes</v>
      </c>
      <c r="R15" s="60">
        <f t="shared" si="4"/>
        <v>5</v>
      </c>
      <c r="S15" s="65">
        <f t="shared" si="5"/>
        <v>24</v>
      </c>
      <c r="T15" s="65" t="s">
        <v>339</v>
      </c>
      <c r="U15" s="73"/>
      <c r="V15" s="64" t="str">
        <f t="shared" si="6"/>
        <v>Better than 15 min</v>
      </c>
      <c r="W15" s="64">
        <f t="shared" si="7"/>
        <v>15</v>
      </c>
      <c r="X15" s="64">
        <f t="shared" si="8"/>
        <v>15</v>
      </c>
      <c r="Y15" s="38">
        <f>VLOOKUP(A15,Step_II_Load_CostRecovery_Sum!$A$5:$T$117,14,FALSE)</f>
        <v>0.76</v>
      </c>
      <c r="Z15" s="167">
        <f>VLOOKUP($A15,Step_II_Load_CostRecovery_Sum!$A$5:$T$117,15,FALSE)</f>
        <v>0.89</v>
      </c>
      <c r="AA15" s="38">
        <f t="shared" si="9"/>
        <v>0</v>
      </c>
      <c r="AB15" s="167">
        <f t="shared" si="10"/>
        <v>1</v>
      </c>
      <c r="AC15" s="288">
        <f>VLOOKUP($A15,Step_II_Load_CostRecovery_Sum!$A$5:$AE$117,29,FALSE)</f>
        <v>0.5038770388958596</v>
      </c>
      <c r="AD15" s="289">
        <f>VLOOKUP($A15,Step_II_Load_CostRecovery_Sum!$A$5:$AE$117,30,FALSE)</f>
        <v>0.689043287327478</v>
      </c>
      <c r="AE15" s="290">
        <f>VLOOKUP($A15,Step_II_Load_CostRecovery_Sum!$A$5:$AE$117,31,FALSE)</f>
        <v>0.2944918444165621</v>
      </c>
      <c r="AF15" s="38">
        <f t="shared" si="11"/>
        <v>1</v>
      </c>
      <c r="AG15" s="166">
        <f t="shared" si="12"/>
        <v>1</v>
      </c>
      <c r="AH15" s="167">
        <f t="shared" si="13"/>
        <v>0</v>
      </c>
      <c r="AI15" s="38">
        <f t="shared" si="14"/>
        <v>60</v>
      </c>
      <c r="AJ15" s="170">
        <f t="shared" si="15"/>
        <v>30</v>
      </c>
      <c r="AK15" s="25">
        <f t="shared" si="16"/>
        <v>30</v>
      </c>
      <c r="AL15" s="167">
        <f t="shared" si="17"/>
        <v>30</v>
      </c>
      <c r="AN15" s="220">
        <f t="shared" si="18"/>
        <v>1</v>
      </c>
      <c r="AO15" s="26">
        <f t="shared" si="19"/>
        <v>1</v>
      </c>
      <c r="AP15" s="209">
        <f t="shared" si="20"/>
        <v>0</v>
      </c>
      <c r="AQ15" s="38" t="str">
        <f t="shared" si="21"/>
        <v>Better than 15 min</v>
      </c>
      <c r="AR15" s="25" t="str">
        <f t="shared" si="22"/>
        <v>Better than 15 min</v>
      </c>
      <c r="AS15" s="170">
        <f t="shared" si="23"/>
        <v>15</v>
      </c>
      <c r="AT15" s="253" t="str">
        <f t="shared" si="24"/>
        <v>Very Frequent</v>
      </c>
      <c r="AU15" s="251">
        <v>3</v>
      </c>
      <c r="AV15" s="41">
        <v>3</v>
      </c>
      <c r="AW15" s="207">
        <v>3</v>
      </c>
      <c r="AX15" s="175">
        <f t="shared" si="29"/>
        <v>1</v>
      </c>
      <c r="AY15" s="41">
        <f t="shared" si="29"/>
        <v>1</v>
      </c>
      <c r="AZ15" s="207">
        <f t="shared" si="28"/>
        <v>2</v>
      </c>
      <c r="BA15" s="38">
        <f t="shared" si="25"/>
        <v>-2</v>
      </c>
      <c r="BB15" s="25">
        <f t="shared" si="26"/>
        <v>-2</v>
      </c>
      <c r="BC15" s="167">
        <f t="shared" si="27"/>
        <v>-1</v>
      </c>
    </row>
    <row r="16" spans="1:55" ht="12.75">
      <c r="A16" t="s">
        <v>116</v>
      </c>
      <c r="B16" s="79">
        <v>13</v>
      </c>
      <c r="C16" s="5" t="s">
        <v>98</v>
      </c>
      <c r="D16" s="6" t="s">
        <v>4</v>
      </c>
      <c r="E16" s="6" t="s">
        <v>117</v>
      </c>
      <c r="F16" s="10">
        <v>101</v>
      </c>
      <c r="G16" s="67">
        <f>VLOOKUP($A16,HH_Jobs_CorridorLength!$A$2:$F$116,5,FALSE)</f>
        <v>657.4878883128422</v>
      </c>
      <c r="H16" s="62">
        <f t="shared" si="0"/>
        <v>0</v>
      </c>
      <c r="I16" s="67">
        <f>VLOOKUP($A16,HH_Jobs_CorridorLength!$A$2:$F$116,6,FALSE)</f>
        <v>6910.964503457071</v>
      </c>
      <c r="J16" s="62">
        <f t="shared" si="1"/>
        <v>4</v>
      </c>
      <c r="K16" s="319">
        <f>VLOOKUP(A16,Low_Income_Minority!$A$3:$J$115,8,FALSE)</f>
        <v>1</v>
      </c>
      <c r="L16" s="60">
        <f>IF(Minority&gt;=Minority_Thrshld,Min_Pts,0)</f>
        <v>5</v>
      </c>
      <c r="M16" s="321">
        <f>VLOOKUP(A16,Low_Income_Minority!$A$3:$J$115,10,FALSE)</f>
        <v>1</v>
      </c>
      <c r="N16" s="61">
        <f t="shared" si="2"/>
        <v>5</v>
      </c>
      <c r="O16" s="57" t="str">
        <f>VLOOKUP(A16,Primary_Connections_To_Centers!$A$3:$K$116,9,FALSE)</f>
        <v>Yes</v>
      </c>
      <c r="P16" s="60">
        <f t="shared" si="3"/>
        <v>5</v>
      </c>
      <c r="Q16" s="38" t="str">
        <f>VLOOKUP(A16,Primary_Connections_To_Centers!$A$3:$K$116,10,FALSE)</f>
        <v>Yes</v>
      </c>
      <c r="R16" s="60">
        <f t="shared" si="4"/>
        <v>5</v>
      </c>
      <c r="S16" s="65">
        <f t="shared" si="5"/>
        <v>24</v>
      </c>
      <c r="T16" s="65"/>
      <c r="U16" s="73"/>
      <c r="V16" s="64">
        <f t="shared" si="6"/>
        <v>15</v>
      </c>
      <c r="W16" s="64">
        <f t="shared" si="7"/>
        <v>30</v>
      </c>
      <c r="X16" s="64">
        <f t="shared" si="8"/>
        <v>30</v>
      </c>
      <c r="Y16" s="38">
        <f>VLOOKUP(A16,Step_II_Load_CostRecovery_Sum!$A$5:$T$117,14,FALSE)</f>
        <v>1.35</v>
      </c>
      <c r="Z16" s="167">
        <f>VLOOKUP($A16,Step_II_Load_CostRecovery_Sum!$A$5:$T$117,15,FALSE)</f>
        <v>0.72</v>
      </c>
      <c r="AA16" s="38">
        <f t="shared" si="9"/>
        <v>1</v>
      </c>
      <c r="AB16" s="167">
        <f t="shared" si="10"/>
        <v>0</v>
      </c>
      <c r="AC16" s="288">
        <f>VLOOKUP($A16,Step_II_Load_CostRecovery_Sum!$A$5:$AE$117,29,FALSE)</f>
        <v>0.5170639899623589</v>
      </c>
      <c r="AD16" s="289">
        <f>VLOOKUP($A16,Step_II_Load_CostRecovery_Sum!$A$5:$AE$117,30,FALSE)</f>
        <v>0.2787374529485571</v>
      </c>
      <c r="AE16" s="290">
        <f>VLOOKUP($A16,Step_II_Load_CostRecovery_Sum!$A$5:$AE$117,31,FALSE)</f>
        <v>0.15969573400250942</v>
      </c>
      <c r="AF16" s="38">
        <f t="shared" si="11"/>
        <v>1</v>
      </c>
      <c r="AG16" s="166">
        <f t="shared" si="12"/>
        <v>0</v>
      </c>
      <c r="AH16" s="167">
        <f t="shared" si="13"/>
        <v>0</v>
      </c>
      <c r="AI16" s="38">
        <f t="shared" si="14"/>
        <v>60</v>
      </c>
      <c r="AJ16" s="170">
        <f t="shared" si="15"/>
        <v>60</v>
      </c>
      <c r="AK16" s="25">
        <f t="shared" si="16"/>
        <v>30</v>
      </c>
      <c r="AL16" s="167">
        <f t="shared" si="17"/>
        <v>30</v>
      </c>
      <c r="AN16" s="220">
        <f t="shared" si="18"/>
        <v>1</v>
      </c>
      <c r="AO16" s="26">
        <f t="shared" si="19"/>
        <v>0</v>
      </c>
      <c r="AP16" s="209">
        <f t="shared" si="20"/>
        <v>0</v>
      </c>
      <c r="AQ16" s="38" t="str">
        <f t="shared" si="21"/>
        <v>Better than 15 min</v>
      </c>
      <c r="AR16" s="25">
        <f t="shared" si="22"/>
        <v>30</v>
      </c>
      <c r="AS16" s="170">
        <f t="shared" si="23"/>
        <v>30</v>
      </c>
      <c r="AT16" s="253" t="str">
        <f t="shared" si="24"/>
        <v>Frequent</v>
      </c>
      <c r="AU16" s="251">
        <v>1</v>
      </c>
      <c r="AV16" s="41">
        <v>3</v>
      </c>
      <c r="AW16" s="207">
        <v>3</v>
      </c>
      <c r="AX16" s="175">
        <f t="shared" si="29"/>
        <v>1</v>
      </c>
      <c r="AY16" s="41">
        <f t="shared" si="29"/>
        <v>3</v>
      </c>
      <c r="AZ16" s="207">
        <f t="shared" si="28"/>
        <v>3</v>
      </c>
      <c r="BA16" s="38">
        <f t="shared" si="25"/>
        <v>0</v>
      </c>
      <c r="BB16" s="25">
        <f t="shared" si="26"/>
        <v>0</v>
      </c>
      <c r="BC16" s="167">
        <f t="shared" si="27"/>
        <v>0</v>
      </c>
    </row>
    <row r="17" spans="1:55" ht="12.75">
      <c r="A17" t="s">
        <v>104</v>
      </c>
      <c r="B17" s="79">
        <v>14</v>
      </c>
      <c r="C17" s="5" t="s">
        <v>105</v>
      </c>
      <c r="D17" s="6" t="s">
        <v>4</v>
      </c>
      <c r="E17" s="6" t="s">
        <v>106</v>
      </c>
      <c r="F17" s="10">
        <v>41</v>
      </c>
      <c r="G17" s="67">
        <f>VLOOKUP($A17,HH_Jobs_CorridorLength!$A$2:$F$116,5,FALSE)</f>
        <v>888.0458728814633</v>
      </c>
      <c r="H17" s="62">
        <f t="shared" si="0"/>
        <v>0</v>
      </c>
      <c r="I17" s="67">
        <f>VLOOKUP($A17,HH_Jobs_CorridorLength!$A$2:$F$116,6,FALSE)</f>
        <v>7264.125235521092</v>
      </c>
      <c r="J17" s="62">
        <f t="shared" si="1"/>
        <v>4</v>
      </c>
      <c r="K17" s="319">
        <f>VLOOKUP(A17,Low_Income_Minority!$A$3:$J$115,8,FALSE)</f>
        <v>0.5696156411310689</v>
      </c>
      <c r="L17" s="60">
        <f>IF(Minority&gt;=Minority_Thrshld,Min_Pts,0)</f>
        <v>5</v>
      </c>
      <c r="M17" s="321">
        <f>VLOOKUP(A17,Low_Income_Minority!$A$3:$J$115,10,FALSE)</f>
        <v>0.5696156411310689</v>
      </c>
      <c r="N17" s="61">
        <f t="shared" si="2"/>
        <v>5</v>
      </c>
      <c r="O17" s="57" t="str">
        <f>VLOOKUP(A17,Primary_Connections_To_Centers!$A$3:$K$116,9,FALSE)</f>
        <v>Yes</v>
      </c>
      <c r="P17" s="60">
        <f t="shared" si="3"/>
        <v>5</v>
      </c>
      <c r="Q17" s="38" t="str">
        <f>VLOOKUP(A17,Primary_Connections_To_Centers!$A$3:$K$116,10,FALSE)</f>
        <v>Yes</v>
      </c>
      <c r="R17" s="60">
        <f t="shared" si="4"/>
        <v>5</v>
      </c>
      <c r="S17" s="65">
        <f t="shared" si="5"/>
        <v>24</v>
      </c>
      <c r="T17" s="65"/>
      <c r="U17" s="73"/>
      <c r="V17" s="64">
        <f t="shared" si="6"/>
        <v>15</v>
      </c>
      <c r="W17" s="64">
        <f t="shared" si="7"/>
        <v>30</v>
      </c>
      <c r="X17" s="64">
        <f t="shared" si="8"/>
        <v>30</v>
      </c>
      <c r="Y17" s="38">
        <f>VLOOKUP(A17,Step_II_Load_CostRecovery_Sum!$A$5:$T$117,14,FALSE)</f>
        <v>1.75</v>
      </c>
      <c r="Z17" s="167">
        <f>VLOOKUP($A17,Step_II_Load_CostRecovery_Sum!$A$5:$T$117,15,FALSE)</f>
        <v>1.33</v>
      </c>
      <c r="AA17" s="38">
        <f t="shared" si="9"/>
        <v>2</v>
      </c>
      <c r="AB17" s="167">
        <f t="shared" si="10"/>
        <v>1</v>
      </c>
      <c r="AC17" s="288">
        <f>VLOOKUP($A17,Step_II_Load_CostRecovery_Sum!$A$5:$AE$117,29,FALSE)</f>
        <v>1.1274654956085322</v>
      </c>
      <c r="AD17" s="289">
        <f>VLOOKUP($A17,Step_II_Load_CostRecovery_Sum!$A$5:$AE$117,30,FALSE)</f>
        <v>0.5927493726474278</v>
      </c>
      <c r="AE17" s="290">
        <f>VLOOKUP($A17,Step_II_Load_CostRecovery_Sum!$A$5:$AE$117,31,FALSE)</f>
        <v>0.1707622333751568</v>
      </c>
      <c r="AF17" s="38">
        <f t="shared" si="11"/>
        <v>2</v>
      </c>
      <c r="AG17" s="166">
        <f t="shared" si="12"/>
        <v>1</v>
      </c>
      <c r="AH17" s="167">
        <f t="shared" si="13"/>
        <v>0</v>
      </c>
      <c r="AI17" s="38">
        <f t="shared" si="14"/>
        <v>60</v>
      </c>
      <c r="AJ17" s="170">
        <f t="shared" si="15"/>
        <v>30</v>
      </c>
      <c r="AK17" s="25">
        <f t="shared" si="16"/>
        <v>30</v>
      </c>
      <c r="AL17" s="167">
        <f t="shared" si="17"/>
        <v>30</v>
      </c>
      <c r="AN17" s="220">
        <f t="shared" si="18"/>
        <v>2</v>
      </c>
      <c r="AO17" s="26">
        <f t="shared" si="19"/>
        <v>1</v>
      </c>
      <c r="AP17" s="209">
        <f t="shared" si="20"/>
        <v>0</v>
      </c>
      <c r="AQ17" s="38" t="str">
        <f t="shared" si="21"/>
        <v>Better than 15 min</v>
      </c>
      <c r="AR17" s="25">
        <f t="shared" si="22"/>
        <v>15</v>
      </c>
      <c r="AS17" s="170">
        <f t="shared" si="23"/>
        <v>30</v>
      </c>
      <c r="AT17" s="253" t="str">
        <f t="shared" si="24"/>
        <v>Very Frequent</v>
      </c>
      <c r="AU17" s="251">
        <v>1</v>
      </c>
      <c r="AV17" s="41">
        <v>2</v>
      </c>
      <c r="AW17" s="207">
        <v>3</v>
      </c>
      <c r="AX17" s="175">
        <f aca="true" t="shared" si="30" ref="AX17:AY23">IF(AQ17="Better than 15 min",1,IF(AQ17=15,2,IF(AQ17=30,3,IF(AQ17=60,5,0))))</f>
        <v>1</v>
      </c>
      <c r="AY17" s="41">
        <f t="shared" si="30"/>
        <v>2</v>
      </c>
      <c r="AZ17" s="207">
        <f t="shared" si="28"/>
        <v>3</v>
      </c>
      <c r="BA17" s="38">
        <f t="shared" si="25"/>
        <v>0</v>
      </c>
      <c r="BB17" s="25">
        <f t="shared" si="26"/>
        <v>0</v>
      </c>
      <c r="BC17" s="167">
        <f t="shared" si="27"/>
        <v>0</v>
      </c>
    </row>
    <row r="18" spans="1:55" ht="12.75">
      <c r="A18" t="s">
        <v>50</v>
      </c>
      <c r="B18" s="79">
        <v>15</v>
      </c>
      <c r="C18" s="5" t="s">
        <v>51</v>
      </c>
      <c r="D18" s="6" t="s">
        <v>4</v>
      </c>
      <c r="E18" s="6" t="s">
        <v>52</v>
      </c>
      <c r="F18" s="7">
        <v>124</v>
      </c>
      <c r="G18" s="67">
        <f>VLOOKUP($A18,HH_Jobs_CorridorLength!$A$2:$F$116,5,FALSE)</f>
        <v>1020.9098164405427</v>
      </c>
      <c r="H18" s="62">
        <f t="shared" si="0"/>
        <v>0</v>
      </c>
      <c r="I18" s="67">
        <f>VLOOKUP($A18,HH_Jobs_CorridorLength!$A$2:$F$116,6,FALSE)</f>
        <v>10055.706304868316</v>
      </c>
      <c r="J18" s="62">
        <f t="shared" si="1"/>
        <v>4</v>
      </c>
      <c r="K18" s="319">
        <f>VLOOKUP(A18,Low_Income_Minority!$A$3:$J$115,8,FALSE)</f>
        <v>0.8115303826459488</v>
      </c>
      <c r="L18" s="60">
        <f>IF(Minority&gt;=Minority_Thrshld,Min_Pts,0)</f>
        <v>5</v>
      </c>
      <c r="M18" s="321">
        <f>VLOOKUP(A18,Low_Income_Minority!$A$3:$J$115,10,FALSE)</f>
        <v>0.6697378230808041</v>
      </c>
      <c r="N18" s="61">
        <f t="shared" si="2"/>
        <v>5</v>
      </c>
      <c r="O18" s="57" t="str">
        <f>VLOOKUP(A18,Primary_Connections_To_Centers!$A$3:$K$116,9,FALSE)</f>
        <v>Yes</v>
      </c>
      <c r="P18" s="60">
        <f t="shared" si="3"/>
        <v>5</v>
      </c>
      <c r="Q18" s="38" t="str">
        <f>VLOOKUP(A18,Primary_Connections_To_Centers!$A$3:$K$116,10,FALSE)</f>
        <v>Yes</v>
      </c>
      <c r="R18" s="60">
        <f t="shared" si="4"/>
        <v>5</v>
      </c>
      <c r="S18" s="65">
        <f t="shared" si="5"/>
        <v>24</v>
      </c>
      <c r="T18" s="65"/>
      <c r="U18" s="73"/>
      <c r="V18" s="64">
        <f t="shared" si="6"/>
        <v>15</v>
      </c>
      <c r="W18" s="64">
        <f t="shared" si="7"/>
        <v>30</v>
      </c>
      <c r="X18" s="64">
        <f t="shared" si="8"/>
        <v>30</v>
      </c>
      <c r="Y18" s="38">
        <f>VLOOKUP(A18,Step_II_Load_CostRecovery_Sum!$A$5:$T$117,14,FALSE)</f>
        <v>0.36</v>
      </c>
      <c r="Z18" s="167">
        <f>VLOOKUP($A18,Step_II_Load_CostRecovery_Sum!$A$5:$T$117,15,FALSE)</f>
        <v>0.43</v>
      </c>
      <c r="AA18" s="38">
        <f t="shared" si="9"/>
        <v>0</v>
      </c>
      <c r="AB18" s="167">
        <f t="shared" si="10"/>
        <v>0</v>
      </c>
      <c r="AC18" s="288">
        <f>VLOOKUP($A18,Step_II_Load_CostRecovery_Sum!$A$5:$AE$117,29,FALSE)</f>
        <v>0.2997176913425345</v>
      </c>
      <c r="AD18" s="289">
        <f>VLOOKUP($A18,Step_II_Load_CostRecovery_Sum!$A$5:$AE$117,30,FALSE)</f>
        <v>0.24115746549560851</v>
      </c>
      <c r="AE18" s="290">
        <f>VLOOKUP($A18,Step_II_Load_CostRecovery_Sum!$A$5:$AE$117,31,FALSE)</f>
        <v>0.16007998745294855</v>
      </c>
      <c r="AF18" s="38">
        <f t="shared" si="11"/>
        <v>0</v>
      </c>
      <c r="AG18" s="166">
        <f t="shared" si="12"/>
        <v>0</v>
      </c>
      <c r="AH18" s="167">
        <f t="shared" si="13"/>
        <v>0</v>
      </c>
      <c r="AI18" s="38">
        <f t="shared" si="14"/>
        <v>60</v>
      </c>
      <c r="AJ18" s="170">
        <f t="shared" si="15"/>
        <v>30</v>
      </c>
      <c r="AK18" s="25">
        <f t="shared" si="16"/>
        <v>30</v>
      </c>
      <c r="AL18" s="167">
        <f t="shared" si="17"/>
        <v>30</v>
      </c>
      <c r="AN18" s="220">
        <f t="shared" si="18"/>
        <v>0</v>
      </c>
      <c r="AO18" s="26">
        <f t="shared" si="19"/>
        <v>0</v>
      </c>
      <c r="AP18" s="209">
        <f t="shared" si="20"/>
        <v>0</v>
      </c>
      <c r="AQ18" s="38">
        <f t="shared" si="21"/>
        <v>15</v>
      </c>
      <c r="AR18" s="25">
        <f t="shared" si="22"/>
        <v>30</v>
      </c>
      <c r="AS18" s="170">
        <f t="shared" si="23"/>
        <v>30</v>
      </c>
      <c r="AT18" s="253" t="str">
        <f t="shared" si="24"/>
        <v>Frequent</v>
      </c>
      <c r="AU18" s="251">
        <v>2</v>
      </c>
      <c r="AV18" s="41">
        <v>3</v>
      </c>
      <c r="AW18" s="207">
        <v>3</v>
      </c>
      <c r="AX18" s="175">
        <f t="shared" si="30"/>
        <v>2</v>
      </c>
      <c r="AY18" s="41">
        <f t="shared" si="30"/>
        <v>3</v>
      </c>
      <c r="AZ18" s="207">
        <f t="shared" si="28"/>
        <v>3</v>
      </c>
      <c r="BA18" s="38">
        <f t="shared" si="25"/>
        <v>0</v>
      </c>
      <c r="BB18" s="25">
        <f t="shared" si="26"/>
        <v>0</v>
      </c>
      <c r="BC18" s="167">
        <f t="shared" si="27"/>
        <v>0</v>
      </c>
    </row>
    <row r="19" spans="1:55" ht="12.75">
      <c r="A19" t="s">
        <v>78</v>
      </c>
      <c r="B19" s="79">
        <v>16</v>
      </c>
      <c r="C19" s="5" t="s">
        <v>79</v>
      </c>
      <c r="D19" s="6" t="s">
        <v>4</v>
      </c>
      <c r="E19" s="6" t="s">
        <v>80</v>
      </c>
      <c r="F19" s="7" t="s">
        <v>81</v>
      </c>
      <c r="G19" s="67">
        <f>VLOOKUP($A19,HH_Jobs_CorridorLength!$A$2:$F$116,5,FALSE)</f>
        <v>2090.5797101449275</v>
      </c>
      <c r="H19" s="62">
        <f t="shared" si="0"/>
        <v>7</v>
      </c>
      <c r="I19" s="67">
        <f>VLOOKUP($A19,HH_Jobs_CorridorLength!$A$2:$F$116,6,FALSE)</f>
        <v>16070.471014492754</v>
      </c>
      <c r="J19" s="62">
        <f t="shared" si="1"/>
        <v>7</v>
      </c>
      <c r="K19" s="319">
        <f>VLOOKUP(A19,Low_Income_Minority!$A$3:$J$115,8,FALSE)</f>
        <v>1</v>
      </c>
      <c r="L19" s="60">
        <f>IF(Minority&gt;=Minority_Thrshld,Min_Pts,0)</f>
        <v>5</v>
      </c>
      <c r="M19" s="321">
        <f>VLOOKUP(A19,Low_Income_Minority!$A$3:$J$115,10,FALSE)</f>
        <v>0.8368794346338483</v>
      </c>
      <c r="N19" s="61">
        <f t="shared" si="2"/>
        <v>5</v>
      </c>
      <c r="O19" s="57" t="str">
        <f>VLOOKUP(A19,Primary_Connections_To_Centers!$A$3:$K$116,9,FALSE)</f>
        <v>No</v>
      </c>
      <c r="P19" s="60">
        <f t="shared" si="3"/>
        <v>0</v>
      </c>
      <c r="Q19" s="38" t="str">
        <f>VLOOKUP(A19,Primary_Connections_To_Centers!$A$3:$K$116,10,FALSE)</f>
        <v>No</v>
      </c>
      <c r="R19" s="60">
        <f t="shared" si="4"/>
        <v>0</v>
      </c>
      <c r="S19" s="65">
        <f t="shared" si="5"/>
        <v>24</v>
      </c>
      <c r="T19" s="65"/>
      <c r="U19" s="73"/>
      <c r="V19" s="64">
        <f t="shared" si="6"/>
        <v>15</v>
      </c>
      <c r="W19" s="64">
        <f t="shared" si="7"/>
        <v>30</v>
      </c>
      <c r="X19" s="64">
        <f t="shared" si="8"/>
        <v>30</v>
      </c>
      <c r="Y19" s="38">
        <f>VLOOKUP(A19,Step_II_Load_CostRecovery_Sum!$A$5:$T$117,14,FALSE)</f>
        <v>0.76</v>
      </c>
      <c r="Z19" s="167">
        <f>VLOOKUP($A19,Step_II_Load_CostRecovery_Sum!$A$5:$T$117,15,FALSE)</f>
        <v>0.85</v>
      </c>
      <c r="AA19" s="38">
        <f t="shared" si="9"/>
        <v>0</v>
      </c>
      <c r="AB19" s="167">
        <f t="shared" si="10"/>
        <v>1</v>
      </c>
      <c r="AC19" s="288">
        <f>VLOOKUP($A19,Step_II_Load_CostRecovery_Sum!$A$5:$AE$117,29,FALSE)</f>
        <v>0.37986198243412805</v>
      </c>
      <c r="AD19" s="289">
        <f>VLOOKUP($A19,Step_II_Load_CostRecovery_Sum!$A$5:$AE$117,30,FALSE)</f>
        <v>0.34590495608531996</v>
      </c>
      <c r="AE19" s="290">
        <f>VLOOKUP($A19,Step_II_Load_CostRecovery_Sum!$A$5:$AE$117,31,FALSE)</f>
        <v>0.1843648055207026</v>
      </c>
      <c r="AF19" s="38">
        <f t="shared" si="11"/>
        <v>0</v>
      </c>
      <c r="AG19" s="166">
        <f t="shared" si="12"/>
        <v>0</v>
      </c>
      <c r="AH19" s="167">
        <f t="shared" si="13"/>
        <v>0</v>
      </c>
      <c r="AI19" s="38">
        <f t="shared" si="14"/>
        <v>0</v>
      </c>
      <c r="AJ19" s="170">
        <f t="shared" si="15"/>
        <v>30</v>
      </c>
      <c r="AK19" s="25">
        <f t="shared" si="16"/>
        <v>30</v>
      </c>
      <c r="AL19" s="167">
        <f t="shared" si="17"/>
        <v>30</v>
      </c>
      <c r="AN19" s="220">
        <f t="shared" si="18"/>
        <v>0</v>
      </c>
      <c r="AO19" s="26">
        <f t="shared" si="19"/>
        <v>1</v>
      </c>
      <c r="AP19" s="209">
        <f t="shared" si="20"/>
        <v>0</v>
      </c>
      <c r="AQ19" s="38">
        <f t="shared" si="21"/>
        <v>15</v>
      </c>
      <c r="AR19" s="25">
        <f t="shared" si="22"/>
        <v>15</v>
      </c>
      <c r="AS19" s="170">
        <f t="shared" si="23"/>
        <v>30</v>
      </c>
      <c r="AT19" s="253" t="str">
        <f t="shared" si="24"/>
        <v>Very Frequent</v>
      </c>
      <c r="AU19" s="251">
        <v>2</v>
      </c>
      <c r="AV19" s="41">
        <v>3</v>
      </c>
      <c r="AW19" s="207">
        <v>3</v>
      </c>
      <c r="AX19" s="175">
        <f t="shared" si="30"/>
        <v>2</v>
      </c>
      <c r="AY19" s="41">
        <f t="shared" si="30"/>
        <v>2</v>
      </c>
      <c r="AZ19" s="207">
        <f t="shared" si="28"/>
        <v>3</v>
      </c>
      <c r="BA19" s="38">
        <f t="shared" si="25"/>
        <v>0</v>
      </c>
      <c r="BB19" s="25">
        <f t="shared" si="26"/>
        <v>-1</v>
      </c>
      <c r="BC19" s="167">
        <f t="shared" si="27"/>
        <v>0</v>
      </c>
    </row>
    <row r="20" spans="1:55" ht="12.75">
      <c r="A20" t="s">
        <v>47</v>
      </c>
      <c r="B20" s="79">
        <v>17</v>
      </c>
      <c r="C20" s="5" t="s">
        <v>8</v>
      </c>
      <c r="D20" s="6" t="s">
        <v>48</v>
      </c>
      <c r="E20" s="11" t="s">
        <v>49</v>
      </c>
      <c r="F20" s="10">
        <v>60</v>
      </c>
      <c r="G20" s="67">
        <f>VLOOKUP($A20,HH_Jobs_CorridorLength!$A$2:$F$116,5,FALSE)</f>
        <v>1368.7722285552632</v>
      </c>
      <c r="H20" s="62">
        <f t="shared" si="0"/>
        <v>4</v>
      </c>
      <c r="I20" s="67">
        <f>VLOOKUP($A20,HH_Jobs_CorridorLength!$A$2:$F$116,6,FALSE)</f>
        <v>2996.3727560940665</v>
      </c>
      <c r="J20" s="62">
        <f t="shared" si="1"/>
        <v>0</v>
      </c>
      <c r="K20" s="319">
        <f>VLOOKUP(A20,Low_Income_Minority!$A$3:$J$115,8,FALSE)</f>
        <v>0.8820357507156829</v>
      </c>
      <c r="L20" s="60">
        <f>IF(Minority&gt;=Minority_Thrshld,Min_Pts,0)</f>
        <v>5</v>
      </c>
      <c r="M20" s="321">
        <f>VLOOKUP(A20,Low_Income_Minority!$A$3:$J$115,10,FALSE)</f>
        <v>0.6319741957969485</v>
      </c>
      <c r="N20" s="61">
        <f t="shared" si="2"/>
        <v>5</v>
      </c>
      <c r="O20" s="57" t="str">
        <f>VLOOKUP(A20,Primary_Connections_To_Centers!$A$3:$K$116,9,FALSE)</f>
        <v>Yes</v>
      </c>
      <c r="P20" s="60">
        <f t="shared" si="3"/>
        <v>5</v>
      </c>
      <c r="Q20" s="38" t="str">
        <f>VLOOKUP(A20,Primary_Connections_To_Centers!$A$3:$K$116,10,FALSE)</f>
        <v>Yes</v>
      </c>
      <c r="R20" s="60">
        <f t="shared" si="4"/>
        <v>5</v>
      </c>
      <c r="S20" s="65">
        <f t="shared" si="5"/>
        <v>24</v>
      </c>
      <c r="T20" s="65"/>
      <c r="U20" s="73"/>
      <c r="V20" s="64">
        <f t="shared" si="6"/>
        <v>15</v>
      </c>
      <c r="W20" s="64">
        <f t="shared" si="7"/>
        <v>30</v>
      </c>
      <c r="X20" s="64">
        <f t="shared" si="8"/>
        <v>30</v>
      </c>
      <c r="Y20" s="38">
        <f>VLOOKUP(A20,Step_II_Load_CostRecovery_Sum!$A$5:$T$117,14,FALSE)</f>
        <v>0.67</v>
      </c>
      <c r="Z20" s="167">
        <f>VLOOKUP($A20,Step_II_Load_CostRecovery_Sum!$A$5:$T$117,15,FALSE)</f>
        <v>0.63</v>
      </c>
      <c r="AA20" s="38">
        <f t="shared" si="9"/>
        <v>0</v>
      </c>
      <c r="AB20" s="167">
        <f t="shared" si="10"/>
        <v>0</v>
      </c>
      <c r="AC20" s="288">
        <f>VLOOKUP($A20,Step_II_Load_CostRecovery_Sum!$A$5:$AE$117,29,FALSE)</f>
        <v>0.3407779171894605</v>
      </c>
      <c r="AD20" s="289">
        <f>VLOOKUP($A20,Step_II_Load_CostRecovery_Sum!$A$5:$AE$117,30,FALSE)</f>
        <v>0.33038111668757847</v>
      </c>
      <c r="AE20" s="290">
        <f>VLOOKUP($A20,Step_II_Load_CostRecovery_Sum!$A$5:$AE$117,31,FALSE)</f>
        <v>0.13664052697616064</v>
      </c>
      <c r="AF20" s="38">
        <f t="shared" si="11"/>
        <v>0</v>
      </c>
      <c r="AG20" s="166">
        <f t="shared" si="12"/>
        <v>0</v>
      </c>
      <c r="AH20" s="167">
        <f t="shared" si="13"/>
        <v>0</v>
      </c>
      <c r="AI20" s="38">
        <f t="shared" si="14"/>
        <v>60</v>
      </c>
      <c r="AJ20" s="170">
        <f t="shared" si="15"/>
        <v>60</v>
      </c>
      <c r="AK20" s="25">
        <f t="shared" si="16"/>
        <v>30</v>
      </c>
      <c r="AL20" s="167">
        <f t="shared" si="17"/>
        <v>30</v>
      </c>
      <c r="AN20" s="220">
        <f t="shared" si="18"/>
        <v>0</v>
      </c>
      <c r="AO20" s="26">
        <f t="shared" si="19"/>
        <v>0</v>
      </c>
      <c r="AP20" s="209">
        <f t="shared" si="20"/>
        <v>0</v>
      </c>
      <c r="AQ20" s="38">
        <f t="shared" si="21"/>
        <v>15</v>
      </c>
      <c r="AR20" s="25">
        <f t="shared" si="22"/>
        <v>30</v>
      </c>
      <c r="AS20" s="170">
        <f t="shared" si="23"/>
        <v>30</v>
      </c>
      <c r="AT20" s="253" t="str">
        <f t="shared" si="24"/>
        <v>Frequent</v>
      </c>
      <c r="AU20" s="251">
        <v>2</v>
      </c>
      <c r="AV20" s="41">
        <v>3</v>
      </c>
      <c r="AW20" s="207">
        <v>3</v>
      </c>
      <c r="AX20" s="175">
        <f t="shared" si="30"/>
        <v>2</v>
      </c>
      <c r="AY20" s="41">
        <f t="shared" si="30"/>
        <v>3</v>
      </c>
      <c r="AZ20" s="207">
        <f t="shared" si="28"/>
        <v>3</v>
      </c>
      <c r="BA20" s="38">
        <f t="shared" si="25"/>
        <v>0</v>
      </c>
      <c r="BB20" s="25">
        <f t="shared" si="26"/>
        <v>0</v>
      </c>
      <c r="BC20" s="167">
        <f t="shared" si="27"/>
        <v>0</v>
      </c>
    </row>
    <row r="21" spans="1:55" ht="12.75">
      <c r="A21" t="s">
        <v>44</v>
      </c>
      <c r="B21" s="79">
        <v>18</v>
      </c>
      <c r="C21" s="5" t="s">
        <v>45</v>
      </c>
      <c r="D21" s="6" t="s">
        <v>4</v>
      </c>
      <c r="E21" s="6" t="s">
        <v>46</v>
      </c>
      <c r="F21" s="10">
        <v>120</v>
      </c>
      <c r="G21" s="67">
        <f>VLOOKUP($A21,HH_Jobs_CorridorLength!$A$2:$F$116,5,FALSE)</f>
        <v>1166.774683077121</v>
      </c>
      <c r="H21" s="62">
        <f t="shared" si="0"/>
        <v>4</v>
      </c>
      <c r="I21" s="67">
        <f>VLOOKUP($A21,HH_Jobs_CorridorLength!$A$2:$F$116,6,FALSE)</f>
        <v>5797.55189170306</v>
      </c>
      <c r="J21" s="62">
        <f t="shared" si="1"/>
        <v>0</v>
      </c>
      <c r="K21" s="319">
        <f>VLOOKUP(A21,Low_Income_Minority!$A$3:$J$115,8,FALSE)</f>
        <v>0.7411636252618335</v>
      </c>
      <c r="L21" s="60">
        <f>IF(Minority&gt;=Minority_Thrshld,Min_Pts,0)</f>
        <v>5</v>
      </c>
      <c r="M21" s="321">
        <f>VLOOKUP(A21,Low_Income_Minority!$A$3:$J$115,10,FALSE)</f>
        <v>0.9125565433634402</v>
      </c>
      <c r="N21" s="61">
        <f t="shared" si="2"/>
        <v>5</v>
      </c>
      <c r="O21" s="57" t="str">
        <f>VLOOKUP(A21,Primary_Connections_To_Centers!$A$3:$K$116,9,FALSE)</f>
        <v>Yes</v>
      </c>
      <c r="P21" s="60">
        <f t="shared" si="3"/>
        <v>5</v>
      </c>
      <c r="Q21" s="38" t="str">
        <f>VLOOKUP(A21,Primary_Connections_To_Centers!$A$3:$K$116,10,FALSE)</f>
        <v>Yes</v>
      </c>
      <c r="R21" s="60">
        <f t="shared" si="4"/>
        <v>5</v>
      </c>
      <c r="S21" s="65">
        <f t="shared" si="5"/>
        <v>24</v>
      </c>
      <c r="T21" s="65"/>
      <c r="U21" s="73"/>
      <c r="V21" s="64">
        <f t="shared" si="6"/>
        <v>15</v>
      </c>
      <c r="W21" s="64">
        <f t="shared" si="7"/>
        <v>30</v>
      </c>
      <c r="X21" s="64">
        <f t="shared" si="8"/>
        <v>30</v>
      </c>
      <c r="Y21" s="38">
        <f>VLOOKUP(A21,Step_II_Load_CostRecovery_Sum!$A$5:$T$117,14,FALSE)</f>
        <v>1.46</v>
      </c>
      <c r="Z21" s="167">
        <f>VLOOKUP($A21,Step_II_Load_CostRecovery_Sum!$A$5:$T$117,15,FALSE)</f>
        <v>1.13</v>
      </c>
      <c r="AA21" s="38">
        <f t="shared" si="9"/>
        <v>1</v>
      </c>
      <c r="AB21" s="167">
        <f t="shared" si="10"/>
        <v>1</v>
      </c>
      <c r="AC21" s="288">
        <f>VLOOKUP($A21,Step_II_Load_CostRecovery_Sum!$A$5:$AE$117,29,FALSE)</f>
        <v>0.8038346925972396</v>
      </c>
      <c r="AD21" s="289">
        <f>VLOOKUP($A21,Step_II_Load_CostRecovery_Sum!$A$5:$AE$117,30,FALSE)</f>
        <v>0.6887358845671268</v>
      </c>
      <c r="AE21" s="290">
        <f>VLOOKUP($A21,Step_II_Load_CostRecovery_Sum!$A$5:$AE$117,31,FALSE)</f>
        <v>0.23354924717691342</v>
      </c>
      <c r="AF21" s="38">
        <f t="shared" si="11"/>
        <v>1</v>
      </c>
      <c r="AG21" s="166">
        <f t="shared" si="12"/>
        <v>1</v>
      </c>
      <c r="AH21" s="167">
        <f t="shared" si="13"/>
        <v>0</v>
      </c>
      <c r="AI21" s="38">
        <f t="shared" si="14"/>
        <v>60</v>
      </c>
      <c r="AJ21" s="170">
        <f t="shared" si="15"/>
        <v>30</v>
      </c>
      <c r="AK21" s="25">
        <f t="shared" si="16"/>
        <v>30</v>
      </c>
      <c r="AL21" s="167">
        <f t="shared" si="17"/>
        <v>30</v>
      </c>
      <c r="AN21" s="220">
        <f t="shared" si="18"/>
        <v>1</v>
      </c>
      <c r="AO21" s="26">
        <f t="shared" si="19"/>
        <v>1</v>
      </c>
      <c r="AP21" s="209">
        <f t="shared" si="20"/>
        <v>0</v>
      </c>
      <c r="AQ21" s="38" t="str">
        <f t="shared" si="21"/>
        <v>Better than 15 min</v>
      </c>
      <c r="AR21" s="25">
        <f t="shared" si="22"/>
        <v>15</v>
      </c>
      <c r="AS21" s="170">
        <f t="shared" si="23"/>
        <v>30</v>
      </c>
      <c r="AT21" s="253" t="str">
        <f t="shared" si="24"/>
        <v>Very Frequent</v>
      </c>
      <c r="AU21" s="251">
        <v>1</v>
      </c>
      <c r="AV21" s="41">
        <v>2</v>
      </c>
      <c r="AW21" s="207">
        <v>3</v>
      </c>
      <c r="AX21" s="175">
        <f t="shared" si="30"/>
        <v>1</v>
      </c>
      <c r="AY21" s="41">
        <f t="shared" si="30"/>
        <v>2</v>
      </c>
      <c r="AZ21" s="207">
        <f t="shared" si="28"/>
        <v>3</v>
      </c>
      <c r="BA21" s="38">
        <f t="shared" si="25"/>
        <v>0</v>
      </c>
      <c r="BB21" s="25">
        <f t="shared" si="26"/>
        <v>0</v>
      </c>
      <c r="BC21" s="167">
        <f t="shared" si="27"/>
        <v>0</v>
      </c>
    </row>
    <row r="22" spans="1:55" ht="12.75">
      <c r="A22" t="s">
        <v>62</v>
      </c>
      <c r="B22" s="79">
        <v>19</v>
      </c>
      <c r="C22" s="5" t="s">
        <v>39</v>
      </c>
      <c r="D22" s="6" t="s">
        <v>4</v>
      </c>
      <c r="E22" s="6" t="s">
        <v>63</v>
      </c>
      <c r="F22" s="8" t="s">
        <v>64</v>
      </c>
      <c r="G22" s="67">
        <f>VLOOKUP($A22,HH_Jobs_CorridorLength!$A$2:$F$116,5,FALSE)</f>
        <v>1862.197773766261</v>
      </c>
      <c r="H22" s="62">
        <f t="shared" si="0"/>
        <v>4</v>
      </c>
      <c r="I22" s="67">
        <f>VLOOKUP($A22,HH_Jobs_CorridorLength!$A$2:$F$116,6,FALSE)</f>
        <v>11063.358186170786</v>
      </c>
      <c r="J22" s="62">
        <f t="shared" si="1"/>
        <v>4</v>
      </c>
      <c r="K22" s="319">
        <f>VLOOKUP(A22,Low_Income_Minority!$A$3:$J$115,8,FALSE)</f>
        <v>1</v>
      </c>
      <c r="L22" s="60">
        <f>IF(Minority&gt;=Minority_Thrshld,Min_Pts,0)</f>
        <v>5</v>
      </c>
      <c r="M22" s="321">
        <f>VLOOKUP(A22,Low_Income_Minority!$A$3:$J$115,10,FALSE)</f>
        <v>0.6870177644801249</v>
      </c>
      <c r="N22" s="61">
        <f t="shared" si="2"/>
        <v>5</v>
      </c>
      <c r="O22" s="57" t="str">
        <f>VLOOKUP(A22,Primary_Connections_To_Centers!$A$3:$K$116,9,FALSE)</f>
        <v>Yes</v>
      </c>
      <c r="P22" s="60">
        <f t="shared" si="3"/>
        <v>5</v>
      </c>
      <c r="Q22" s="38" t="str">
        <f>VLOOKUP(A22,Primary_Connections_To_Centers!$A$3:$K$116,10,FALSE)</f>
        <v>No</v>
      </c>
      <c r="R22" s="60">
        <f t="shared" si="4"/>
        <v>0</v>
      </c>
      <c r="S22" s="65">
        <f t="shared" si="5"/>
        <v>23</v>
      </c>
      <c r="T22" s="65"/>
      <c r="U22" s="73"/>
      <c r="V22" s="64">
        <f t="shared" si="6"/>
        <v>15</v>
      </c>
      <c r="W22" s="64">
        <f t="shared" si="7"/>
        <v>30</v>
      </c>
      <c r="X22" s="64">
        <f t="shared" si="8"/>
        <v>30</v>
      </c>
      <c r="Y22" s="38">
        <f>VLOOKUP(A22,Step_II_Load_CostRecovery_Sum!$A$5:$T$117,14,FALSE)</f>
        <v>1.04</v>
      </c>
      <c r="Z22" s="167">
        <f>VLOOKUP($A22,Step_II_Load_CostRecovery_Sum!$A$5:$T$117,15,FALSE)</f>
        <v>2.07</v>
      </c>
      <c r="AA22" s="38">
        <f t="shared" si="9"/>
        <v>1</v>
      </c>
      <c r="AB22" s="167">
        <f t="shared" si="10"/>
        <v>2</v>
      </c>
      <c r="AC22" s="288">
        <f>VLOOKUP($A22,Step_II_Load_CostRecovery_Sum!$A$5:$AE$117,29,FALSE)</f>
        <v>0.5764240903387704</v>
      </c>
      <c r="AD22" s="289">
        <f>VLOOKUP($A22,Step_II_Load_CostRecovery_Sum!$A$5:$AE$117,30,FALSE)</f>
        <v>1.2491311166875785</v>
      </c>
      <c r="AE22" s="290">
        <f>VLOOKUP($A22,Step_II_Load_CostRecovery_Sum!$A$5:$AE$117,31,FALSE)</f>
        <v>0.6304062107904642</v>
      </c>
      <c r="AF22" s="38">
        <f t="shared" si="11"/>
        <v>1</v>
      </c>
      <c r="AG22" s="166">
        <f t="shared" si="12"/>
        <v>2</v>
      </c>
      <c r="AH22" s="167">
        <f t="shared" si="13"/>
        <v>1</v>
      </c>
      <c r="AI22" s="38">
        <f t="shared" si="14"/>
        <v>0</v>
      </c>
      <c r="AJ22" s="170">
        <f t="shared" si="15"/>
        <v>30</v>
      </c>
      <c r="AK22" s="25">
        <f t="shared" si="16"/>
        <v>30</v>
      </c>
      <c r="AL22" s="167">
        <f t="shared" si="17"/>
        <v>30</v>
      </c>
      <c r="AN22" s="220">
        <f t="shared" si="18"/>
        <v>1</v>
      </c>
      <c r="AO22" s="26">
        <f t="shared" si="19"/>
        <v>2</v>
      </c>
      <c r="AP22" s="209">
        <f t="shared" si="20"/>
        <v>1</v>
      </c>
      <c r="AQ22" s="38" t="str">
        <f t="shared" si="21"/>
        <v>Better than 15 min</v>
      </c>
      <c r="AR22" s="25" t="str">
        <f t="shared" si="22"/>
        <v>Better than 15 min</v>
      </c>
      <c r="AS22" s="170">
        <f t="shared" si="23"/>
        <v>15</v>
      </c>
      <c r="AT22" s="253" t="str">
        <f t="shared" si="24"/>
        <v>Very Frequent</v>
      </c>
      <c r="AU22" s="251">
        <v>1</v>
      </c>
      <c r="AV22" s="41">
        <v>1</v>
      </c>
      <c r="AW22" s="207">
        <v>2</v>
      </c>
      <c r="AX22" s="175">
        <f t="shared" si="30"/>
        <v>1</v>
      </c>
      <c r="AY22" s="41">
        <f t="shared" si="30"/>
        <v>1</v>
      </c>
      <c r="AZ22" s="207">
        <f t="shared" si="28"/>
        <v>2</v>
      </c>
      <c r="BA22" s="38">
        <f t="shared" si="25"/>
        <v>0</v>
      </c>
      <c r="BB22" s="25">
        <f t="shared" si="26"/>
        <v>0</v>
      </c>
      <c r="BC22" s="167">
        <f t="shared" si="27"/>
        <v>0</v>
      </c>
    </row>
    <row r="23" spans="1:55" ht="12.75">
      <c r="A23" t="s">
        <v>38</v>
      </c>
      <c r="B23" s="79">
        <v>20</v>
      </c>
      <c r="C23" s="5" t="s">
        <v>39</v>
      </c>
      <c r="D23" s="6" t="s">
        <v>40</v>
      </c>
      <c r="E23" s="6" t="s">
        <v>41</v>
      </c>
      <c r="F23" s="10">
        <v>8</v>
      </c>
      <c r="G23" s="67">
        <f>VLOOKUP($A23,HH_Jobs_CorridorLength!$A$2:$F$116,5,FALSE)</f>
        <v>2591.985068208494</v>
      </c>
      <c r="H23" s="62">
        <f t="shared" si="0"/>
        <v>7</v>
      </c>
      <c r="I23" s="67">
        <f>VLOOKUP($A23,HH_Jobs_CorridorLength!$A$2:$F$116,6,FALSE)</f>
        <v>3133.3254189259615</v>
      </c>
      <c r="J23" s="62">
        <f t="shared" si="1"/>
        <v>0</v>
      </c>
      <c r="K23" s="319">
        <f>VLOOKUP(A23,Low_Income_Minority!$A$3:$J$115,8,FALSE)</f>
        <v>0.43018132256425273</v>
      </c>
      <c r="L23" s="60">
        <f>IF(Minority&gt;=Minority_Thrshld,Min_Pts,0)</f>
        <v>0</v>
      </c>
      <c r="M23" s="321">
        <f>VLOOKUP(A23,Low_Income_Minority!$A$3:$J$115,10,FALSE)</f>
        <v>0.7521272282969318</v>
      </c>
      <c r="N23" s="61">
        <f t="shared" si="2"/>
        <v>5</v>
      </c>
      <c r="O23" s="57" t="str">
        <f>VLOOKUP(A23,Primary_Connections_To_Centers!$A$3:$K$116,9,FALSE)</f>
        <v>Yes</v>
      </c>
      <c r="P23" s="60">
        <f t="shared" si="3"/>
        <v>5</v>
      </c>
      <c r="Q23" s="38" t="str">
        <f>VLOOKUP(A23,Primary_Connections_To_Centers!$A$3:$K$116,10,FALSE)</f>
        <v>Yes</v>
      </c>
      <c r="R23" s="60">
        <f t="shared" si="4"/>
        <v>5</v>
      </c>
      <c r="S23" s="65">
        <f t="shared" si="5"/>
        <v>22</v>
      </c>
      <c r="T23" s="65"/>
      <c r="U23" s="73"/>
      <c r="V23" s="64">
        <f t="shared" si="6"/>
        <v>15</v>
      </c>
      <c r="W23" s="64">
        <f t="shared" si="7"/>
        <v>30</v>
      </c>
      <c r="X23" s="64">
        <f t="shared" si="8"/>
        <v>30</v>
      </c>
      <c r="Y23" s="38">
        <f>VLOOKUP(A23,Step_II_Load_CostRecovery_Sum!$A$5:$T$117,14,FALSE)</f>
        <v>0.49</v>
      </c>
      <c r="Z23" s="167">
        <f>VLOOKUP($A23,Step_II_Load_CostRecovery_Sum!$A$5:$T$117,15,FALSE)</f>
        <v>0.72</v>
      </c>
      <c r="AA23" s="38">
        <f t="shared" si="9"/>
        <v>0</v>
      </c>
      <c r="AB23" s="167">
        <f t="shared" si="10"/>
        <v>0</v>
      </c>
      <c r="AC23" s="288">
        <f>VLOOKUP($A23,Step_II_Load_CostRecovery_Sum!$A$5:$AE$117,29,FALSE)</f>
        <v>0.3843412797992472</v>
      </c>
      <c r="AD23" s="289">
        <f>VLOOKUP($A23,Step_II_Load_CostRecovery_Sum!$A$5:$AE$117,30,FALSE)</f>
        <v>0.6646047678795484</v>
      </c>
      <c r="AE23" s="290">
        <f>VLOOKUP($A23,Step_II_Load_CostRecovery_Sum!$A$5:$AE$117,31,FALSE)</f>
        <v>0.15385508155583438</v>
      </c>
      <c r="AF23" s="38">
        <f t="shared" si="11"/>
        <v>0</v>
      </c>
      <c r="AG23" s="25">
        <f t="shared" si="12"/>
        <v>1</v>
      </c>
      <c r="AH23" s="167">
        <f t="shared" si="13"/>
        <v>0</v>
      </c>
      <c r="AI23" s="38">
        <f t="shared" si="14"/>
        <v>60</v>
      </c>
      <c r="AJ23" s="170">
        <f t="shared" si="15"/>
        <v>60</v>
      </c>
      <c r="AK23" s="25">
        <f t="shared" si="16"/>
        <v>30</v>
      </c>
      <c r="AL23" s="167">
        <f t="shared" si="17"/>
        <v>30</v>
      </c>
      <c r="AN23" s="220">
        <f t="shared" si="18"/>
        <v>0</v>
      </c>
      <c r="AO23" s="26">
        <f t="shared" si="19"/>
        <v>1</v>
      </c>
      <c r="AP23" s="209">
        <f t="shared" si="20"/>
        <v>0</v>
      </c>
      <c r="AQ23" s="38">
        <f t="shared" si="21"/>
        <v>15</v>
      </c>
      <c r="AR23" s="25">
        <f t="shared" si="22"/>
        <v>15</v>
      </c>
      <c r="AS23" s="170">
        <f t="shared" si="23"/>
        <v>30</v>
      </c>
      <c r="AT23" s="253" t="str">
        <f t="shared" si="24"/>
        <v>Very Frequent</v>
      </c>
      <c r="AU23" s="251">
        <v>2</v>
      </c>
      <c r="AV23" s="41">
        <v>2</v>
      </c>
      <c r="AW23" s="207">
        <v>3</v>
      </c>
      <c r="AX23" s="175">
        <f t="shared" si="30"/>
        <v>2</v>
      </c>
      <c r="AY23" s="41">
        <f t="shared" si="30"/>
        <v>2</v>
      </c>
      <c r="AZ23" s="207">
        <f t="shared" si="28"/>
        <v>3</v>
      </c>
      <c r="BA23" s="38">
        <f t="shared" si="25"/>
        <v>0</v>
      </c>
      <c r="BB23" s="25">
        <f t="shared" si="26"/>
        <v>0</v>
      </c>
      <c r="BC23" s="167">
        <f t="shared" si="27"/>
        <v>0</v>
      </c>
    </row>
    <row r="24" spans="1:55" ht="12.75">
      <c r="A24" t="s">
        <v>69</v>
      </c>
      <c r="B24" s="79">
        <v>21</v>
      </c>
      <c r="C24" s="5" t="s">
        <v>70</v>
      </c>
      <c r="D24" s="6" t="s">
        <v>4</v>
      </c>
      <c r="E24" s="6" t="s">
        <v>71</v>
      </c>
      <c r="F24" s="10">
        <v>36</v>
      </c>
      <c r="G24" s="67">
        <f>VLOOKUP($A24,HH_Jobs_CorridorLength!$A$2:$F$116,5,FALSE)</f>
        <v>1885.787340642014</v>
      </c>
      <c r="H24" s="62">
        <f t="shared" si="0"/>
        <v>4</v>
      </c>
      <c r="I24" s="67">
        <f>VLOOKUP($A24,HH_Jobs_CorridorLength!$A$2:$F$116,6,FALSE)</f>
        <v>11800.19303540012</v>
      </c>
      <c r="J24" s="62">
        <f t="shared" si="1"/>
        <v>7</v>
      </c>
      <c r="K24" s="319">
        <f>VLOOKUP(A24,Low_Income_Minority!$A$3:$J$115,8,FALSE)</f>
        <v>1</v>
      </c>
      <c r="L24" s="60">
        <f>IF(Minority&gt;=Minority_Thrshld,Min_Pts,0)</f>
        <v>5</v>
      </c>
      <c r="M24" s="321">
        <f>VLOOKUP(A24,Low_Income_Minority!$A$3:$J$115,10,FALSE)</f>
        <v>0.5445199822796227</v>
      </c>
      <c r="N24" s="61">
        <f t="shared" si="2"/>
        <v>0</v>
      </c>
      <c r="O24" s="57" t="str">
        <f>VLOOKUP(A24,Primary_Connections_To_Centers!$A$3:$K$116,9,FALSE)</f>
        <v>Yes</v>
      </c>
      <c r="P24" s="60">
        <f t="shared" si="3"/>
        <v>5</v>
      </c>
      <c r="Q24" s="38" t="str">
        <f>VLOOKUP(A24,Primary_Connections_To_Centers!$A$3:$K$116,10,FALSE)</f>
        <v>No</v>
      </c>
      <c r="R24" s="60">
        <f t="shared" si="4"/>
        <v>0</v>
      </c>
      <c r="S24" s="65">
        <f t="shared" si="5"/>
        <v>21</v>
      </c>
      <c r="T24" s="65"/>
      <c r="U24" s="73"/>
      <c r="V24" s="64">
        <f t="shared" si="6"/>
        <v>15</v>
      </c>
      <c r="W24" s="64">
        <f t="shared" si="7"/>
        <v>30</v>
      </c>
      <c r="X24" s="64">
        <f t="shared" si="8"/>
        <v>30</v>
      </c>
      <c r="Y24" s="38">
        <f>VLOOKUP(A24,Step_II_Load_CostRecovery_Sum!$A$5:$T$117,14,FALSE)</f>
        <v>1.43</v>
      </c>
      <c r="Z24" s="167">
        <f>VLOOKUP($A24,Step_II_Load_CostRecovery_Sum!$A$5:$T$117,15,FALSE)</f>
        <v>1.91</v>
      </c>
      <c r="AA24" s="38">
        <f t="shared" si="9"/>
        <v>1</v>
      </c>
      <c r="AB24" s="167">
        <f t="shared" si="10"/>
        <v>2</v>
      </c>
      <c r="AC24" s="288">
        <f>VLOOKUP($A24,Step_II_Load_CostRecovery_Sum!$A$5:$AE$117,29,FALSE)</f>
        <v>0.6503764115432874</v>
      </c>
      <c r="AD24" s="289">
        <f>VLOOKUP($A24,Step_II_Load_CostRecovery_Sum!$A$5:$AE$117,30,FALSE)</f>
        <v>1.0766013174404014</v>
      </c>
      <c r="AE24" s="290">
        <f>VLOOKUP($A24,Step_II_Load_CostRecovery_Sum!$A$5:$AE$117,31,FALSE)</f>
        <v>0.30402132998745296</v>
      </c>
      <c r="AF24" s="38">
        <f t="shared" si="11"/>
        <v>1</v>
      </c>
      <c r="AG24" s="25">
        <f t="shared" si="12"/>
        <v>2</v>
      </c>
      <c r="AH24" s="167">
        <f t="shared" si="13"/>
        <v>0</v>
      </c>
      <c r="AI24" s="38">
        <f t="shared" si="14"/>
        <v>0</v>
      </c>
      <c r="AJ24" s="170">
        <f t="shared" si="15"/>
        <v>30</v>
      </c>
      <c r="AK24" s="25">
        <f t="shared" si="16"/>
        <v>30</v>
      </c>
      <c r="AL24" s="167">
        <f t="shared" si="17"/>
        <v>30</v>
      </c>
      <c r="AN24" s="220">
        <f t="shared" si="18"/>
        <v>1</v>
      </c>
      <c r="AO24" s="26">
        <f t="shared" si="19"/>
        <v>2</v>
      </c>
      <c r="AP24" s="209">
        <f t="shared" si="20"/>
        <v>0</v>
      </c>
      <c r="AQ24" s="38" t="str">
        <f t="shared" si="21"/>
        <v>Better than 15 min</v>
      </c>
      <c r="AR24" s="25" t="str">
        <f t="shared" si="22"/>
        <v>Better than 15 min</v>
      </c>
      <c r="AS24" s="170">
        <f t="shared" si="23"/>
        <v>30</v>
      </c>
      <c r="AT24" s="253" t="str">
        <f t="shared" si="24"/>
        <v>Very Frequent</v>
      </c>
      <c r="AU24" s="251">
        <v>1</v>
      </c>
      <c r="AV24" s="41">
        <v>1</v>
      </c>
      <c r="AW24" s="207">
        <v>2</v>
      </c>
      <c r="AX24" s="175">
        <f aca="true" t="shared" si="31" ref="AX24:AY28">IF(AQ24="Better than 15 min",1,IF(AQ24=15,2,IF(AQ24=30,3,IF(AQ24=60,5,6))))</f>
        <v>1</v>
      </c>
      <c r="AY24" s="41">
        <f t="shared" si="31"/>
        <v>1</v>
      </c>
      <c r="AZ24" s="207">
        <f t="shared" si="28"/>
        <v>3</v>
      </c>
      <c r="BA24" s="38">
        <f t="shared" si="25"/>
        <v>0</v>
      </c>
      <c r="BB24" s="25">
        <f t="shared" si="26"/>
        <v>0</v>
      </c>
      <c r="BC24" s="167">
        <f t="shared" si="27"/>
        <v>1</v>
      </c>
    </row>
    <row r="25" spans="1:55" ht="12.75">
      <c r="A25" t="s">
        <v>42</v>
      </c>
      <c r="B25" s="79">
        <v>22</v>
      </c>
      <c r="C25" s="5" t="s">
        <v>3</v>
      </c>
      <c r="D25" s="6" t="s">
        <v>21</v>
      </c>
      <c r="E25" s="6" t="s">
        <v>43</v>
      </c>
      <c r="F25" s="10">
        <v>44</v>
      </c>
      <c r="G25" s="67">
        <f>VLOOKUP($A25,HH_Jobs_CorridorLength!$A$2:$F$116,5,FALSE)</f>
        <v>2444.134807795944</v>
      </c>
      <c r="H25" s="62">
        <f t="shared" si="0"/>
        <v>7</v>
      </c>
      <c r="I25" s="67">
        <f>VLOOKUP($A25,HH_Jobs_CorridorLength!$A$2:$F$116,6,FALSE)</f>
        <v>6429.310428719802</v>
      </c>
      <c r="J25" s="62">
        <f t="shared" si="1"/>
        <v>4</v>
      </c>
      <c r="K25" s="319">
        <f>VLOOKUP(A25,Low_Income_Minority!$A$3:$J$115,8,FALSE)</f>
        <v>0.1521258115883446</v>
      </c>
      <c r="L25" s="60">
        <f>IF(Minority&gt;=Minority_Thrshld,Min_Pts,0)</f>
        <v>0</v>
      </c>
      <c r="M25" s="321">
        <f>VLOOKUP(A25,Low_Income_Minority!$A$3:$J$115,10,FALSE)</f>
        <v>0.1521258115883446</v>
      </c>
      <c r="N25" s="61">
        <f t="shared" si="2"/>
        <v>0</v>
      </c>
      <c r="O25" s="57" t="str">
        <f>VLOOKUP(A25,Primary_Connections_To_Centers!$A$3:$K$116,9,FALSE)</f>
        <v>Yes</v>
      </c>
      <c r="P25" s="60">
        <f t="shared" si="3"/>
        <v>5</v>
      </c>
      <c r="Q25" s="38" t="str">
        <f>VLOOKUP(A25,Primary_Connections_To_Centers!$A$3:$K$116,10,FALSE)</f>
        <v>Yes</v>
      </c>
      <c r="R25" s="60">
        <f t="shared" si="4"/>
        <v>5</v>
      </c>
      <c r="S25" s="65">
        <f t="shared" si="5"/>
        <v>21</v>
      </c>
      <c r="T25" s="65"/>
      <c r="U25" s="73"/>
      <c r="V25" s="64">
        <f t="shared" si="6"/>
        <v>15</v>
      </c>
      <c r="W25" s="64">
        <f t="shared" si="7"/>
        <v>30</v>
      </c>
      <c r="X25" s="64">
        <f t="shared" si="8"/>
        <v>30</v>
      </c>
      <c r="Y25" s="38">
        <f>VLOOKUP(A25,Step_II_Load_CostRecovery_Sum!$A$5:$T$117,14,FALSE)</f>
        <v>1.78</v>
      </c>
      <c r="Z25" s="167">
        <f>VLOOKUP($A25,Step_II_Load_CostRecovery_Sum!$A$5:$T$117,15,FALSE)</f>
        <v>0.57</v>
      </c>
      <c r="AA25" s="38">
        <f t="shared" si="9"/>
        <v>2</v>
      </c>
      <c r="AB25" s="167">
        <f t="shared" si="10"/>
        <v>0</v>
      </c>
      <c r="AC25" s="288">
        <f>VLOOKUP($A25,Step_II_Load_CostRecovery_Sum!$A$5:$AE$117,29,FALSE)</f>
        <v>0.5654454203262234</v>
      </c>
      <c r="AD25" s="289">
        <f>VLOOKUP($A25,Step_II_Load_CostRecovery_Sum!$A$5:$AE$117,30,FALSE)</f>
        <v>0.6821267252195735</v>
      </c>
      <c r="AE25" s="290">
        <f>VLOOKUP($A25,Step_II_Load_CostRecovery_Sum!$A$5:$AE$117,31,FALSE)</f>
        <v>0.45749215809284816</v>
      </c>
      <c r="AF25" s="38">
        <f t="shared" si="11"/>
        <v>1</v>
      </c>
      <c r="AG25" s="25">
        <f t="shared" si="12"/>
        <v>1</v>
      </c>
      <c r="AH25" s="167">
        <f t="shared" si="13"/>
        <v>1</v>
      </c>
      <c r="AI25" s="38">
        <f t="shared" si="14"/>
        <v>60</v>
      </c>
      <c r="AJ25" s="170">
        <f t="shared" si="15"/>
        <v>30</v>
      </c>
      <c r="AK25" s="25">
        <f t="shared" si="16"/>
        <v>30</v>
      </c>
      <c r="AL25" s="167">
        <f t="shared" si="17"/>
        <v>30</v>
      </c>
      <c r="AN25" s="220">
        <f t="shared" si="18"/>
        <v>2</v>
      </c>
      <c r="AO25" s="26">
        <f t="shared" si="19"/>
        <v>1</v>
      </c>
      <c r="AP25" s="209">
        <f t="shared" si="20"/>
        <v>1</v>
      </c>
      <c r="AQ25" s="38" t="str">
        <f t="shared" si="21"/>
        <v>Better than 15 min</v>
      </c>
      <c r="AR25" s="25">
        <f t="shared" si="22"/>
        <v>15</v>
      </c>
      <c r="AS25" s="170">
        <f t="shared" si="23"/>
        <v>15</v>
      </c>
      <c r="AT25" s="253" t="str">
        <f t="shared" si="24"/>
        <v>Very Frequent</v>
      </c>
      <c r="AU25" s="251">
        <v>1</v>
      </c>
      <c r="AV25" s="41">
        <v>2</v>
      </c>
      <c r="AW25" s="207">
        <v>2</v>
      </c>
      <c r="AX25" s="175">
        <f t="shared" si="31"/>
        <v>1</v>
      </c>
      <c r="AY25" s="41">
        <f t="shared" si="31"/>
        <v>2</v>
      </c>
      <c r="AZ25" s="207">
        <f t="shared" si="28"/>
        <v>2</v>
      </c>
      <c r="BA25" s="38">
        <f t="shared" si="25"/>
        <v>0</v>
      </c>
      <c r="BB25" s="25">
        <f t="shared" si="26"/>
        <v>0</v>
      </c>
      <c r="BC25" s="167">
        <f t="shared" si="27"/>
        <v>0</v>
      </c>
    </row>
    <row r="26" spans="1:55" ht="12.75">
      <c r="A26" t="s">
        <v>88</v>
      </c>
      <c r="B26" s="79">
        <v>23</v>
      </c>
      <c r="C26" s="5" t="s">
        <v>17</v>
      </c>
      <c r="D26" s="6" t="s">
        <v>21</v>
      </c>
      <c r="E26" s="6" t="s">
        <v>89</v>
      </c>
      <c r="F26" s="7" t="s">
        <v>90</v>
      </c>
      <c r="G26" s="67">
        <f>VLOOKUP($A26,HH_Jobs_CorridorLength!$A$2:$F$116,5,FALSE)</f>
        <v>2160.869565217391</v>
      </c>
      <c r="H26" s="62">
        <f t="shared" si="0"/>
        <v>7</v>
      </c>
      <c r="I26" s="67">
        <f>VLOOKUP($A26,HH_Jobs_CorridorLength!$A$2:$F$116,6,FALSE)</f>
        <v>11347.491638795986</v>
      </c>
      <c r="J26" s="62">
        <f t="shared" si="1"/>
        <v>4</v>
      </c>
      <c r="K26" s="319">
        <f>VLOOKUP(A26,Low_Income_Minority!$A$3:$J$115,8,FALSE)</f>
        <v>0.4281130927285031</v>
      </c>
      <c r="L26" s="60">
        <f>IF(Minority&gt;=Minority_Thrshld,Min_Pts,0)</f>
        <v>0</v>
      </c>
      <c r="M26" s="321">
        <f>VLOOKUP(A26,Low_Income_Minority!$A$3:$J$115,10,FALSE)</f>
        <v>0.9001403641083272</v>
      </c>
      <c r="N26" s="61">
        <f t="shared" si="2"/>
        <v>5</v>
      </c>
      <c r="O26" s="57" t="str">
        <f>VLOOKUP(A26,Primary_Connections_To_Centers!$A$3:$K$116,9,FALSE)</f>
        <v>Yes</v>
      </c>
      <c r="P26" s="60">
        <f t="shared" si="3"/>
        <v>5</v>
      </c>
      <c r="Q26" s="38" t="str">
        <f>VLOOKUP(A26,Primary_Connections_To_Centers!$A$3:$K$116,10,FALSE)</f>
        <v>No</v>
      </c>
      <c r="R26" s="60">
        <f t="shared" si="4"/>
        <v>0</v>
      </c>
      <c r="S26" s="65">
        <f t="shared" si="5"/>
        <v>21</v>
      </c>
      <c r="T26" s="65"/>
      <c r="U26" s="73"/>
      <c r="V26" s="64">
        <f t="shared" si="6"/>
        <v>15</v>
      </c>
      <c r="W26" s="64">
        <f t="shared" si="7"/>
        <v>30</v>
      </c>
      <c r="X26" s="64">
        <f t="shared" si="8"/>
        <v>30</v>
      </c>
      <c r="Y26" s="38">
        <f>VLOOKUP(A26,Step_II_Load_CostRecovery_Sum!$A$5:$T$117,14,FALSE)</f>
        <v>0.81</v>
      </c>
      <c r="Z26" s="167">
        <f>VLOOKUP($A26,Step_II_Load_CostRecovery_Sum!$A$5:$T$117,15,FALSE)</f>
        <v>0.94</v>
      </c>
      <c r="AA26" s="38">
        <f t="shared" si="9"/>
        <v>1</v>
      </c>
      <c r="AB26" s="167">
        <f t="shared" si="10"/>
        <v>1</v>
      </c>
      <c r="AC26" s="288">
        <f>VLOOKUP($A26,Step_II_Load_CostRecovery_Sum!$A$5:$AE$117,29,FALSE)</f>
        <v>0.6136637390213302</v>
      </c>
      <c r="AD26" s="289">
        <f>VLOOKUP($A26,Step_II_Load_CostRecovery_Sum!$A$5:$AE$117,30,FALSE)</f>
        <v>0.40477258469259725</v>
      </c>
      <c r="AE26" s="290" t="str">
        <f>VLOOKUP($A26,Step_II_Load_CostRecovery_Sum!$A$5:$AE$117,31,FALSE)</f>
        <v>N/A</v>
      </c>
      <c r="AF26" s="38">
        <f t="shared" si="11"/>
        <v>1</v>
      </c>
      <c r="AG26" s="25">
        <f t="shared" si="12"/>
        <v>0</v>
      </c>
      <c r="AH26" s="167" t="str">
        <f t="shared" si="13"/>
        <v>N/A</v>
      </c>
      <c r="AI26" s="38">
        <f t="shared" si="14"/>
        <v>0</v>
      </c>
      <c r="AJ26" s="170" t="str">
        <f t="shared" si="15"/>
        <v>N/A</v>
      </c>
      <c r="AK26" s="25">
        <f t="shared" si="16"/>
        <v>30</v>
      </c>
      <c r="AL26" s="167">
        <f t="shared" si="17"/>
        <v>30</v>
      </c>
      <c r="AN26" s="220">
        <f t="shared" si="18"/>
        <v>1</v>
      </c>
      <c r="AO26" s="26">
        <f t="shared" si="19"/>
        <v>1</v>
      </c>
      <c r="AP26" s="209">
        <f t="shared" si="20"/>
        <v>0</v>
      </c>
      <c r="AQ26" s="38" t="str">
        <f t="shared" si="21"/>
        <v>Better than 15 min</v>
      </c>
      <c r="AR26" s="25">
        <f t="shared" si="22"/>
        <v>15</v>
      </c>
      <c r="AS26" s="170">
        <f t="shared" si="23"/>
        <v>30</v>
      </c>
      <c r="AT26" s="253" t="str">
        <f t="shared" si="24"/>
        <v>Very Frequent</v>
      </c>
      <c r="AU26" s="251">
        <v>1</v>
      </c>
      <c r="AV26" s="41">
        <v>2</v>
      </c>
      <c r="AW26" s="207">
        <v>3</v>
      </c>
      <c r="AX26" s="175">
        <f t="shared" si="31"/>
        <v>1</v>
      </c>
      <c r="AY26" s="41">
        <f t="shared" si="31"/>
        <v>2</v>
      </c>
      <c r="AZ26" s="207">
        <f t="shared" si="28"/>
        <v>3</v>
      </c>
      <c r="BA26" s="38">
        <f t="shared" si="25"/>
        <v>0</v>
      </c>
      <c r="BB26" s="25">
        <f t="shared" si="26"/>
        <v>0</v>
      </c>
      <c r="BC26" s="167">
        <f t="shared" si="27"/>
        <v>0</v>
      </c>
    </row>
    <row r="27" spans="1:55" ht="12.75">
      <c r="A27" t="s">
        <v>113</v>
      </c>
      <c r="B27" s="79">
        <v>24</v>
      </c>
      <c r="C27" s="5" t="s">
        <v>51</v>
      </c>
      <c r="D27" s="6" t="s">
        <v>114</v>
      </c>
      <c r="E27" s="6" t="s">
        <v>115</v>
      </c>
      <c r="F27" s="6">
        <v>156</v>
      </c>
      <c r="G27" s="67">
        <f>VLOOKUP($A27,HH_Jobs_CorridorLength!$A$2:$F$116,5,FALSE)</f>
        <v>276.00509893050304</v>
      </c>
      <c r="H27" s="62">
        <f t="shared" si="0"/>
        <v>0</v>
      </c>
      <c r="I27" s="67">
        <f>VLOOKUP($A27,HH_Jobs_CorridorLength!$A$2:$F$116,6,FALSE)</f>
        <v>769.3768508648822</v>
      </c>
      <c r="J27" s="62">
        <f t="shared" si="1"/>
        <v>0</v>
      </c>
      <c r="K27" s="319">
        <f>VLOOKUP(A27,Low_Income_Minority!$A$3:$J$115,8,FALSE)</f>
        <v>1</v>
      </c>
      <c r="L27" s="60">
        <f>IF(Minority&gt;=Minority_Thrshld,Min_Pts,0)</f>
        <v>5</v>
      </c>
      <c r="M27" s="321">
        <f>VLOOKUP(A27,Low_Income_Minority!$A$3:$J$115,10,FALSE)</f>
        <v>0.7850467277832364</v>
      </c>
      <c r="N27" s="61">
        <f t="shared" si="2"/>
        <v>5</v>
      </c>
      <c r="O27" s="57" t="str">
        <f>VLOOKUP(A27,Primary_Connections_To_Centers!$A$3:$K$116,9,FALSE)</f>
        <v>Yes</v>
      </c>
      <c r="P27" s="60">
        <f t="shared" si="3"/>
        <v>5</v>
      </c>
      <c r="Q27" s="38" t="str">
        <f>VLOOKUP(A27,Primary_Connections_To_Centers!$A$3:$K$116,10,FALSE)</f>
        <v>Yes</v>
      </c>
      <c r="R27" s="60">
        <f t="shared" si="4"/>
        <v>5</v>
      </c>
      <c r="S27" s="65">
        <f t="shared" si="5"/>
        <v>20</v>
      </c>
      <c r="T27" s="65"/>
      <c r="U27" s="73"/>
      <c r="V27" s="64">
        <f t="shared" si="6"/>
        <v>15</v>
      </c>
      <c r="W27" s="64">
        <f t="shared" si="7"/>
        <v>30</v>
      </c>
      <c r="X27" s="64">
        <f t="shared" si="8"/>
        <v>30</v>
      </c>
      <c r="Y27" s="38" t="str">
        <f>VLOOKUP(A27,Step_II_Load_CostRecovery_Sum!$A$5:$T$117,14,FALSE)</f>
        <v>N/A</v>
      </c>
      <c r="Z27" s="167" t="str">
        <f>VLOOKUP($A27,Step_II_Load_CostRecovery_Sum!$A$5:$T$117,15,FALSE)</f>
        <v>N/A</v>
      </c>
      <c r="AA27" s="38" t="str">
        <f t="shared" si="9"/>
        <v>N/A</v>
      </c>
      <c r="AB27" s="167" t="str">
        <f t="shared" si="10"/>
        <v>N/A</v>
      </c>
      <c r="AC27" s="288" t="str">
        <f>VLOOKUP($A27,Step_II_Load_CostRecovery_Sum!$A$5:$AE$117,29,FALSE)</f>
        <v>N/A</v>
      </c>
      <c r="AD27" s="289" t="str">
        <f>VLOOKUP($A27,Step_II_Load_CostRecovery_Sum!$A$5:$AE$117,30,FALSE)</f>
        <v>N/A</v>
      </c>
      <c r="AE27" s="290" t="str">
        <f>VLOOKUP($A27,Step_II_Load_CostRecovery_Sum!$A$5:$AE$117,31,FALSE)</f>
        <v>N/A</v>
      </c>
      <c r="AF27" s="38" t="str">
        <f t="shared" si="11"/>
        <v>N/A</v>
      </c>
      <c r="AG27" s="25" t="str">
        <f t="shared" si="12"/>
        <v>N/A</v>
      </c>
      <c r="AH27" s="167" t="str">
        <f t="shared" si="13"/>
        <v>N/A</v>
      </c>
      <c r="AI27" s="38">
        <f t="shared" si="14"/>
        <v>60</v>
      </c>
      <c r="AJ27" s="170" t="str">
        <f t="shared" si="15"/>
        <v>N/A</v>
      </c>
      <c r="AK27" s="25">
        <f t="shared" si="16"/>
        <v>30</v>
      </c>
      <c r="AL27" s="167">
        <f t="shared" si="17"/>
        <v>30</v>
      </c>
      <c r="AN27" s="220">
        <f t="shared" si="18"/>
        <v>0</v>
      </c>
      <c r="AO27" s="26">
        <f t="shared" si="19"/>
        <v>0</v>
      </c>
      <c r="AP27" s="209">
        <f t="shared" si="20"/>
        <v>0</v>
      </c>
      <c r="AQ27" s="38">
        <f t="shared" si="21"/>
        <v>15</v>
      </c>
      <c r="AR27" s="25">
        <f t="shared" si="22"/>
        <v>30</v>
      </c>
      <c r="AS27" s="170">
        <f t="shared" si="23"/>
        <v>30</v>
      </c>
      <c r="AT27" s="253" t="str">
        <f t="shared" si="24"/>
        <v>Frequent</v>
      </c>
      <c r="AU27" s="251">
        <v>3</v>
      </c>
      <c r="AV27" s="41">
        <v>3</v>
      </c>
      <c r="AW27" s="207">
        <v>5</v>
      </c>
      <c r="AX27" s="175">
        <f t="shared" si="31"/>
        <v>2</v>
      </c>
      <c r="AY27" s="41">
        <f t="shared" si="31"/>
        <v>3</v>
      </c>
      <c r="AZ27" s="207">
        <f t="shared" si="28"/>
        <v>3</v>
      </c>
      <c r="BA27" s="38">
        <f t="shared" si="25"/>
        <v>-1</v>
      </c>
      <c r="BB27" s="25">
        <f t="shared" si="26"/>
        <v>0</v>
      </c>
      <c r="BC27" s="167">
        <f t="shared" si="27"/>
        <v>-2</v>
      </c>
    </row>
    <row r="28" spans="1:55" ht="12.75">
      <c r="A28" t="s">
        <v>110</v>
      </c>
      <c r="B28" s="79">
        <v>25</v>
      </c>
      <c r="C28" s="5" t="s">
        <v>98</v>
      </c>
      <c r="D28" s="6" t="s">
        <v>45</v>
      </c>
      <c r="E28" s="6" t="s">
        <v>111</v>
      </c>
      <c r="F28" s="8" t="s">
        <v>112</v>
      </c>
      <c r="G28" s="67">
        <f>VLOOKUP($A28,HH_Jobs_CorridorLength!$A$2:$F$116,5,FALSE)</f>
        <v>427.9599109680232</v>
      </c>
      <c r="H28" s="62">
        <f t="shared" si="0"/>
        <v>0</v>
      </c>
      <c r="I28" s="67">
        <f>VLOOKUP($A28,HH_Jobs_CorridorLength!$A$2:$F$116,6,FALSE)</f>
        <v>1481.4351812401062</v>
      </c>
      <c r="J28" s="62">
        <f t="shared" si="1"/>
        <v>0</v>
      </c>
      <c r="K28" s="319">
        <f>VLOOKUP(A28,Low_Income_Minority!$A$3:$J$115,8,FALSE)</f>
        <v>0.9399512948776393</v>
      </c>
      <c r="L28" s="60">
        <f>IF(Minority&gt;=Minority_Thrshld,Min_Pts,0)</f>
        <v>5</v>
      </c>
      <c r="M28" s="321">
        <f>VLOOKUP(A28,Low_Income_Minority!$A$3:$J$115,10,FALSE)</f>
        <v>1</v>
      </c>
      <c r="N28" s="61">
        <f t="shared" si="2"/>
        <v>5</v>
      </c>
      <c r="O28" s="57" t="str">
        <f>VLOOKUP(A28,Primary_Connections_To_Centers!$A$3:$K$116,9,FALSE)</f>
        <v>Yes</v>
      </c>
      <c r="P28" s="60">
        <f t="shared" si="3"/>
        <v>5</v>
      </c>
      <c r="Q28" s="38" t="str">
        <f>VLOOKUP(A28,Primary_Connections_To_Centers!$A$3:$K$116,10,FALSE)</f>
        <v>Yes</v>
      </c>
      <c r="R28" s="60">
        <f t="shared" si="4"/>
        <v>5</v>
      </c>
      <c r="S28" s="65">
        <f t="shared" si="5"/>
        <v>20</v>
      </c>
      <c r="T28" s="65" t="s">
        <v>599</v>
      </c>
      <c r="U28" s="73"/>
      <c r="V28" s="64" t="str">
        <f t="shared" si="6"/>
        <v>Better than 15 min</v>
      </c>
      <c r="W28" s="64">
        <f t="shared" si="7"/>
        <v>15</v>
      </c>
      <c r="X28" s="64">
        <f t="shared" si="8"/>
        <v>15</v>
      </c>
      <c r="Y28" s="38">
        <f>VLOOKUP(A28,Step_II_Load_CostRecovery_Sum!$A$5:$T$117,14,FALSE)</f>
        <v>0.45</v>
      </c>
      <c r="Z28" s="167">
        <f>VLOOKUP($A28,Step_II_Load_CostRecovery_Sum!$A$5:$T$117,15,FALSE)</f>
        <v>0.7</v>
      </c>
      <c r="AA28" s="38">
        <f t="shared" si="9"/>
        <v>0</v>
      </c>
      <c r="AB28" s="167">
        <f t="shared" si="10"/>
        <v>0</v>
      </c>
      <c r="AC28" s="288">
        <f>VLOOKUP($A28,Step_II_Load_CostRecovery_Sum!$A$5:$AE$117,29,FALSE)</f>
        <v>0.2190464240903388</v>
      </c>
      <c r="AD28" s="289">
        <f>VLOOKUP($A28,Step_II_Load_CostRecovery_Sum!$A$5:$AE$117,30,FALSE)</f>
        <v>0.43297678795483063</v>
      </c>
      <c r="AE28" s="290">
        <f>VLOOKUP($A28,Step_II_Load_CostRecovery_Sum!$A$5:$AE$117,31,FALSE)</f>
        <v>0.18836104140526977</v>
      </c>
      <c r="AF28" s="38">
        <f t="shared" si="11"/>
        <v>0</v>
      </c>
      <c r="AG28" s="25">
        <f t="shared" si="12"/>
        <v>0</v>
      </c>
      <c r="AH28" s="167">
        <f t="shared" si="13"/>
        <v>0</v>
      </c>
      <c r="AI28" s="38">
        <f t="shared" si="14"/>
        <v>60</v>
      </c>
      <c r="AJ28" s="170">
        <f t="shared" si="15"/>
        <v>30</v>
      </c>
      <c r="AK28" s="25">
        <f t="shared" si="16"/>
        <v>30</v>
      </c>
      <c r="AL28" s="167">
        <f t="shared" si="17"/>
        <v>30</v>
      </c>
      <c r="AN28" s="220">
        <f t="shared" si="18"/>
        <v>0</v>
      </c>
      <c r="AO28" s="26">
        <f t="shared" si="19"/>
        <v>0</v>
      </c>
      <c r="AP28" s="209">
        <f t="shared" si="20"/>
        <v>0</v>
      </c>
      <c r="AQ28" s="38" t="str">
        <f t="shared" si="21"/>
        <v>Better than 15 min</v>
      </c>
      <c r="AR28" s="25">
        <f t="shared" si="22"/>
        <v>15</v>
      </c>
      <c r="AS28" s="170">
        <f t="shared" si="23"/>
        <v>15</v>
      </c>
      <c r="AT28" s="253" t="str">
        <f t="shared" si="24"/>
        <v>Very Frequent</v>
      </c>
      <c r="AU28" s="251">
        <v>2</v>
      </c>
      <c r="AV28" s="41">
        <v>2</v>
      </c>
      <c r="AW28" s="207">
        <v>3</v>
      </c>
      <c r="AX28" s="175">
        <f t="shared" si="31"/>
        <v>1</v>
      </c>
      <c r="AY28" s="41">
        <f t="shared" si="31"/>
        <v>2</v>
      </c>
      <c r="AZ28" s="207">
        <f t="shared" si="28"/>
        <v>2</v>
      </c>
      <c r="BA28" s="38">
        <f t="shared" si="25"/>
        <v>-1</v>
      </c>
      <c r="BB28" s="25">
        <f t="shared" si="26"/>
        <v>0</v>
      </c>
      <c r="BC28" s="167">
        <f t="shared" si="27"/>
        <v>-1</v>
      </c>
    </row>
    <row r="29" spans="1:55" ht="12.75">
      <c r="A29" t="s">
        <v>246</v>
      </c>
      <c r="B29" s="79">
        <v>26</v>
      </c>
      <c r="C29" s="5" t="s">
        <v>97</v>
      </c>
      <c r="D29" s="6" t="s">
        <v>98</v>
      </c>
      <c r="E29" s="6" t="s">
        <v>247</v>
      </c>
      <c r="F29" s="6">
        <v>153</v>
      </c>
      <c r="G29" s="67">
        <f>VLOOKUP($A29,HH_Jobs_CorridorLength!$A$2:$F$116,5,FALSE)</f>
        <v>167.31704149988803</v>
      </c>
      <c r="H29" s="62">
        <f t="shared" si="0"/>
        <v>0</v>
      </c>
      <c r="I29" s="67">
        <f>VLOOKUP($A29,HH_Jobs_CorridorLength!$A$2:$F$116,6,FALSE)</f>
        <v>2144.2741631177832</v>
      </c>
      <c r="J29" s="62">
        <f t="shared" si="1"/>
        <v>0</v>
      </c>
      <c r="K29" s="319">
        <f>VLOOKUP(A29,Low_Income_Minority!$A$3:$J$115,8,FALSE)</f>
        <v>0.9996859296392457</v>
      </c>
      <c r="L29" s="60">
        <f>IF(Minority&gt;=Minority_Thrshld,Min_Pts,0)</f>
        <v>5</v>
      </c>
      <c r="M29" s="321">
        <f>VLOOKUP(A29,Low_Income_Minority!$A$3:$J$115,10,FALSE)</f>
        <v>0.942839195395721</v>
      </c>
      <c r="N29" s="61">
        <f t="shared" si="2"/>
        <v>5</v>
      </c>
      <c r="O29" s="57" t="str">
        <f>VLOOKUP(A29,Primary_Connections_To_Centers!$A$3:$K$116,9,FALSE)</f>
        <v>Yes</v>
      </c>
      <c r="P29" s="60">
        <f t="shared" si="3"/>
        <v>5</v>
      </c>
      <c r="Q29" s="38" t="str">
        <f>VLOOKUP(A29,Primary_Connections_To_Centers!$A$3:$K$116,10,FALSE)</f>
        <v>Yes</v>
      </c>
      <c r="R29" s="60">
        <f t="shared" si="4"/>
        <v>5</v>
      </c>
      <c r="S29" s="65">
        <f t="shared" si="5"/>
        <v>20</v>
      </c>
      <c r="T29" s="65"/>
      <c r="U29" s="73"/>
      <c r="V29" s="64">
        <f t="shared" si="6"/>
        <v>15</v>
      </c>
      <c r="W29" s="64">
        <f t="shared" si="7"/>
        <v>30</v>
      </c>
      <c r="X29" s="64">
        <f t="shared" si="8"/>
        <v>30</v>
      </c>
      <c r="Y29" s="38">
        <f>VLOOKUP(A29,Step_II_Load_CostRecovery_Sum!$A$5:$T$117,14,FALSE)</f>
        <v>0.53</v>
      </c>
      <c r="Z29" s="167">
        <f>VLOOKUP($A29,Step_II_Load_CostRecovery_Sum!$A$5:$T$117,15,FALSE)</f>
        <v>0.24</v>
      </c>
      <c r="AA29" s="38">
        <f t="shared" si="9"/>
        <v>0</v>
      </c>
      <c r="AB29" s="167">
        <f t="shared" si="10"/>
        <v>0</v>
      </c>
      <c r="AC29" s="288">
        <f>VLOOKUP($A29,Step_II_Load_CostRecovery_Sum!$A$5:$AE$117,29,FALSE)</f>
        <v>0.22291091593475537</v>
      </c>
      <c r="AD29" s="289">
        <f>VLOOKUP($A29,Step_II_Load_CostRecovery_Sum!$A$5:$AE$117,30,FALSE)</f>
        <v>0.05248902132998745</v>
      </c>
      <c r="AE29" s="290" t="str">
        <f>VLOOKUP($A29,Step_II_Load_CostRecovery_Sum!$A$5:$AE$117,31,FALSE)</f>
        <v>N/A</v>
      </c>
      <c r="AF29" s="38">
        <f t="shared" si="11"/>
        <v>0</v>
      </c>
      <c r="AG29" s="25">
        <f t="shared" si="12"/>
        <v>0</v>
      </c>
      <c r="AH29" s="167" t="str">
        <f t="shared" si="13"/>
        <v>N/A</v>
      </c>
      <c r="AI29" s="38">
        <f t="shared" si="14"/>
        <v>60</v>
      </c>
      <c r="AJ29" s="170" t="str">
        <f t="shared" si="15"/>
        <v>N/A</v>
      </c>
      <c r="AK29" s="25">
        <f t="shared" si="16"/>
        <v>30</v>
      </c>
      <c r="AL29" s="167">
        <f t="shared" si="17"/>
        <v>30</v>
      </c>
      <c r="AN29" s="220">
        <f t="shared" si="18"/>
        <v>0</v>
      </c>
      <c r="AO29" s="26">
        <f t="shared" si="19"/>
        <v>0</v>
      </c>
      <c r="AP29" s="209">
        <f t="shared" si="20"/>
        <v>0</v>
      </c>
      <c r="AQ29" s="38">
        <f t="shared" si="21"/>
        <v>15</v>
      </c>
      <c r="AR29" s="25">
        <f t="shared" si="22"/>
        <v>30</v>
      </c>
      <c r="AS29" s="170">
        <f t="shared" si="23"/>
        <v>30</v>
      </c>
      <c r="AT29" s="253" t="str">
        <f t="shared" si="24"/>
        <v>Frequent</v>
      </c>
      <c r="AU29" s="251">
        <v>3</v>
      </c>
      <c r="AV29" s="41">
        <v>5</v>
      </c>
      <c r="AW29" s="207">
        <v>6</v>
      </c>
      <c r="AX29" s="175">
        <f aca="true" t="shared" si="32" ref="AX29:AY36">IF(AQ29="Better than 15 min",1,IF(AQ29=15,2,IF(AQ29=30,3,IF(AQ29=60,5,0))))</f>
        <v>2</v>
      </c>
      <c r="AY29" s="41">
        <f t="shared" si="32"/>
        <v>3</v>
      </c>
      <c r="AZ29" s="207">
        <f t="shared" si="28"/>
        <v>3</v>
      </c>
      <c r="BA29" s="38">
        <f t="shared" si="25"/>
        <v>-1</v>
      </c>
      <c r="BB29" s="25">
        <f t="shared" si="26"/>
        <v>-2</v>
      </c>
      <c r="BC29" s="167">
        <f t="shared" si="27"/>
        <v>-3</v>
      </c>
    </row>
    <row r="30" spans="1:55" ht="12.75">
      <c r="A30" t="s">
        <v>184</v>
      </c>
      <c r="B30" s="79">
        <v>27</v>
      </c>
      <c r="C30" s="5" t="s">
        <v>92</v>
      </c>
      <c r="D30" s="6" t="s">
        <v>97</v>
      </c>
      <c r="E30" s="6" t="s">
        <v>185</v>
      </c>
      <c r="F30" s="6">
        <v>183</v>
      </c>
      <c r="G30" s="67">
        <f>VLOOKUP($A30,HH_Jobs_CorridorLength!$A$2:$F$116,5,FALSE)</f>
        <v>598.8502394739224</v>
      </c>
      <c r="H30" s="62">
        <f t="shared" si="0"/>
        <v>0</v>
      </c>
      <c r="I30" s="67">
        <f>VLOOKUP($A30,HH_Jobs_CorridorLength!$A$2:$F$116,6,FALSE)</f>
        <v>498.4520189213737</v>
      </c>
      <c r="J30" s="62">
        <f t="shared" si="1"/>
        <v>0</v>
      </c>
      <c r="K30" s="319">
        <f>VLOOKUP(A30,Low_Income_Minority!$A$3:$J$115,8,FALSE)</f>
        <v>0.9446128407465024</v>
      </c>
      <c r="L30" s="60">
        <f>IF(Minority&gt;=Minority_Thrshld,Min_Pts,0)</f>
        <v>5</v>
      </c>
      <c r="M30" s="321">
        <f>VLOOKUP(A30,Low_Income_Minority!$A$3:$J$115,10,FALSE)</f>
        <v>0.6387434510323374</v>
      </c>
      <c r="N30" s="61">
        <f t="shared" si="2"/>
        <v>5</v>
      </c>
      <c r="O30" s="57" t="str">
        <f>VLOOKUP(A30,Primary_Connections_To_Centers!$A$3:$K$116,9,FALSE)</f>
        <v>Yes</v>
      </c>
      <c r="P30" s="60">
        <f t="shared" si="3"/>
        <v>5</v>
      </c>
      <c r="Q30" s="38" t="str">
        <f>VLOOKUP(A30,Primary_Connections_To_Centers!$A$3:$K$116,10,FALSE)</f>
        <v>Yes</v>
      </c>
      <c r="R30" s="60">
        <f t="shared" si="4"/>
        <v>5</v>
      </c>
      <c r="S30" s="65">
        <f t="shared" si="5"/>
        <v>20</v>
      </c>
      <c r="T30" s="65"/>
      <c r="U30" s="73"/>
      <c r="V30" s="64">
        <f t="shared" si="6"/>
        <v>15</v>
      </c>
      <c r="W30" s="64">
        <f t="shared" si="7"/>
        <v>30</v>
      </c>
      <c r="X30" s="64">
        <f t="shared" si="8"/>
        <v>30</v>
      </c>
      <c r="Y30" s="38">
        <f>VLOOKUP(A30,Step_II_Load_CostRecovery_Sum!$A$5:$T$117,14,FALSE)</f>
        <v>0.26</v>
      </c>
      <c r="Z30" s="167">
        <f>VLOOKUP($A30,Step_II_Load_CostRecovery_Sum!$A$5:$T$117,15,FALSE)</f>
        <v>0.48</v>
      </c>
      <c r="AA30" s="38">
        <f t="shared" si="9"/>
        <v>0</v>
      </c>
      <c r="AB30" s="167">
        <f t="shared" si="10"/>
        <v>0</v>
      </c>
      <c r="AC30" s="288">
        <f>VLOOKUP($A30,Step_II_Load_CostRecovery_Sum!$A$5:$AE$117,29,FALSE)</f>
        <v>0.10486825595984946</v>
      </c>
      <c r="AD30" s="289">
        <f>VLOOKUP($A30,Step_II_Load_CostRecovery_Sum!$A$5:$AE$117,30,FALSE)</f>
        <v>0.08868569636135508</v>
      </c>
      <c r="AE30" s="290" t="str">
        <f>VLOOKUP($A30,Step_II_Load_CostRecovery_Sum!$A$5:$AE$117,31,FALSE)</f>
        <v>N/A</v>
      </c>
      <c r="AF30" s="38">
        <f t="shared" si="11"/>
        <v>0</v>
      </c>
      <c r="AG30" s="25">
        <f t="shared" si="12"/>
        <v>0</v>
      </c>
      <c r="AH30" s="167" t="str">
        <f t="shared" si="13"/>
        <v>N/A</v>
      </c>
      <c r="AI30" s="38">
        <f t="shared" si="14"/>
        <v>60</v>
      </c>
      <c r="AJ30" s="170" t="str">
        <f t="shared" si="15"/>
        <v>N/A</v>
      </c>
      <c r="AK30" s="25">
        <f t="shared" si="16"/>
        <v>30</v>
      </c>
      <c r="AL30" s="167">
        <f t="shared" si="17"/>
        <v>30</v>
      </c>
      <c r="AN30" s="220">
        <f t="shared" si="18"/>
        <v>0</v>
      </c>
      <c r="AO30" s="26">
        <f t="shared" si="19"/>
        <v>0</v>
      </c>
      <c r="AP30" s="209">
        <f t="shared" si="20"/>
        <v>0</v>
      </c>
      <c r="AQ30" s="38">
        <f t="shared" si="21"/>
        <v>15</v>
      </c>
      <c r="AR30" s="25">
        <f t="shared" si="22"/>
        <v>30</v>
      </c>
      <c r="AS30" s="170">
        <f t="shared" si="23"/>
        <v>30</v>
      </c>
      <c r="AT30" s="253" t="str">
        <f t="shared" si="24"/>
        <v>Frequent</v>
      </c>
      <c r="AU30" s="251">
        <v>3</v>
      </c>
      <c r="AV30" s="41">
        <v>5</v>
      </c>
      <c r="AW30" s="207">
        <v>6</v>
      </c>
      <c r="AX30" s="175">
        <f t="shared" si="32"/>
        <v>2</v>
      </c>
      <c r="AY30" s="41">
        <f t="shared" si="32"/>
        <v>3</v>
      </c>
      <c r="AZ30" s="207">
        <f t="shared" si="28"/>
        <v>3</v>
      </c>
      <c r="BA30" s="38">
        <f t="shared" si="25"/>
        <v>-1</v>
      </c>
      <c r="BB30" s="25">
        <f t="shared" si="26"/>
        <v>-2</v>
      </c>
      <c r="BC30" s="167">
        <f t="shared" si="27"/>
        <v>-3</v>
      </c>
    </row>
    <row r="31" spans="1:55" ht="12.75">
      <c r="A31" t="s">
        <v>75</v>
      </c>
      <c r="B31" s="79">
        <v>28</v>
      </c>
      <c r="C31" s="5" t="s">
        <v>73</v>
      </c>
      <c r="D31" s="6" t="s">
        <v>4</v>
      </c>
      <c r="E31" s="6" t="s">
        <v>76</v>
      </c>
      <c r="F31" s="8" t="s">
        <v>77</v>
      </c>
      <c r="G31" s="67">
        <f>VLOOKUP($A31,HH_Jobs_CorridorLength!$A$2:$F$116,5,FALSE)</f>
        <v>3333.9460999008393</v>
      </c>
      <c r="H31" s="62">
        <f t="shared" si="0"/>
        <v>10</v>
      </c>
      <c r="I31" s="67">
        <f>VLOOKUP($A31,HH_Jobs_CorridorLength!$A$2:$F$116,6,FALSE)</f>
        <v>19902.303876834467</v>
      </c>
      <c r="J31" s="62">
        <f t="shared" si="1"/>
        <v>10</v>
      </c>
      <c r="K31" s="319">
        <f>VLOOKUP(A31,Low_Income_Minority!$A$3:$J$115,8,FALSE)</f>
        <v>0</v>
      </c>
      <c r="L31" s="60">
        <f>IF(Minority&gt;=Minority_Thrshld,Min_Pts,0)</f>
        <v>0</v>
      </c>
      <c r="M31" s="321">
        <f>VLOOKUP(A31,Low_Income_Minority!$A$3:$J$115,10,FALSE)</f>
        <v>0.46808898513301883</v>
      </c>
      <c r="N31" s="61">
        <f t="shared" si="2"/>
        <v>0</v>
      </c>
      <c r="O31" s="57" t="str">
        <f>VLOOKUP(A31,Primary_Connections_To_Centers!$A$3:$K$116,9,FALSE)</f>
        <v>No</v>
      </c>
      <c r="P31" s="60">
        <f t="shared" si="3"/>
        <v>0</v>
      </c>
      <c r="Q31" s="38" t="str">
        <f>VLOOKUP(A31,Primary_Connections_To_Centers!$A$3:$K$116,10,FALSE)</f>
        <v>No</v>
      </c>
      <c r="R31" s="60">
        <f t="shared" si="4"/>
        <v>0</v>
      </c>
      <c r="S31" s="65">
        <f t="shared" si="5"/>
        <v>20</v>
      </c>
      <c r="T31" s="65"/>
      <c r="U31" s="73"/>
      <c r="V31" s="64">
        <f t="shared" si="6"/>
        <v>15</v>
      </c>
      <c r="W31" s="64">
        <f t="shared" si="7"/>
        <v>30</v>
      </c>
      <c r="X31" s="64">
        <f t="shared" si="8"/>
        <v>30</v>
      </c>
      <c r="Y31" s="38">
        <f>VLOOKUP(A31,Step_II_Load_CostRecovery_Sum!$A$5:$T$117,14,FALSE)</f>
        <v>1.17</v>
      </c>
      <c r="Z31" s="167">
        <f>VLOOKUP($A31,Step_II_Load_CostRecovery_Sum!$A$5:$T$117,15,FALSE)</f>
        <v>0.59</v>
      </c>
      <c r="AA31" s="38">
        <f t="shared" si="9"/>
        <v>1</v>
      </c>
      <c r="AB31" s="167">
        <f t="shared" si="10"/>
        <v>0</v>
      </c>
      <c r="AC31" s="288">
        <f>VLOOKUP($A31,Step_II_Load_CostRecovery_Sum!$A$5:$AE$117,29,FALSE)</f>
        <v>0.9301129234629864</v>
      </c>
      <c r="AD31" s="289">
        <f>VLOOKUP($A31,Step_II_Load_CostRecovery_Sum!$A$5:$AE$117,30,FALSE)</f>
        <v>1.0725282308657467</v>
      </c>
      <c r="AE31" s="290">
        <f>VLOOKUP($A31,Step_II_Load_CostRecovery_Sum!$A$5:$AE$117,31,FALSE)</f>
        <v>0.5578591593475534</v>
      </c>
      <c r="AF31" s="38">
        <f t="shared" si="11"/>
        <v>1</v>
      </c>
      <c r="AG31" s="25">
        <f t="shared" si="12"/>
        <v>2</v>
      </c>
      <c r="AH31" s="167">
        <f t="shared" si="13"/>
        <v>1</v>
      </c>
      <c r="AI31" s="38">
        <f t="shared" si="14"/>
        <v>0</v>
      </c>
      <c r="AJ31" s="170">
        <f t="shared" si="15"/>
        <v>30</v>
      </c>
      <c r="AK31" s="25">
        <f t="shared" si="16"/>
        <v>30</v>
      </c>
      <c r="AL31" s="167">
        <f t="shared" si="17"/>
        <v>30</v>
      </c>
      <c r="AN31" s="220">
        <f t="shared" si="18"/>
        <v>1</v>
      </c>
      <c r="AO31" s="26">
        <f t="shared" si="19"/>
        <v>2</v>
      </c>
      <c r="AP31" s="209">
        <f t="shared" si="20"/>
        <v>1</v>
      </c>
      <c r="AQ31" s="38" t="str">
        <f t="shared" si="21"/>
        <v>Better than 15 min</v>
      </c>
      <c r="AR31" s="25" t="str">
        <f t="shared" si="22"/>
        <v>Better than 15 min</v>
      </c>
      <c r="AS31" s="170">
        <f t="shared" si="23"/>
        <v>15</v>
      </c>
      <c r="AT31" s="253" t="str">
        <f t="shared" si="24"/>
        <v>Very Frequent</v>
      </c>
      <c r="AU31" s="251">
        <v>1</v>
      </c>
      <c r="AV31" s="41">
        <v>2</v>
      </c>
      <c r="AW31" s="207">
        <v>2</v>
      </c>
      <c r="AX31" s="175">
        <f t="shared" si="32"/>
        <v>1</v>
      </c>
      <c r="AY31" s="41">
        <f t="shared" si="32"/>
        <v>1</v>
      </c>
      <c r="AZ31" s="207">
        <f t="shared" si="28"/>
        <v>2</v>
      </c>
      <c r="BA31" s="38">
        <f t="shared" si="25"/>
        <v>0</v>
      </c>
      <c r="BB31" s="25">
        <f t="shared" si="26"/>
        <v>-1</v>
      </c>
      <c r="BC31" s="167">
        <f t="shared" si="27"/>
        <v>0</v>
      </c>
    </row>
    <row r="32" spans="1:55" ht="12.75">
      <c r="A32" s="21" t="s">
        <v>101</v>
      </c>
      <c r="B32" s="79">
        <v>29</v>
      </c>
      <c r="C32" s="5" t="s">
        <v>102</v>
      </c>
      <c r="D32" s="6" t="s">
        <v>45</v>
      </c>
      <c r="E32" s="6" t="s">
        <v>103</v>
      </c>
      <c r="F32" s="10">
        <v>180</v>
      </c>
      <c r="G32" s="69">
        <f>VLOOKUP($A32,HH_Jobs_CorridorLength!$A$2:$F$116,5,FALSE)</f>
        <v>530.0776700929832</v>
      </c>
      <c r="H32" s="10">
        <f t="shared" si="0"/>
        <v>0</v>
      </c>
      <c r="I32" s="67">
        <f>VLOOKUP($A32,HH_Jobs_CorridorLength!$A$2:$F$116,6,FALSE)</f>
        <v>1039.7832839310586</v>
      </c>
      <c r="J32" s="10">
        <f t="shared" si="1"/>
        <v>0</v>
      </c>
      <c r="K32" s="319">
        <f>VLOOKUP(A32,Low_Income_Minority!$A$3:$J$115,8,FALSE)</f>
        <v>0.6531109991333338</v>
      </c>
      <c r="L32" s="60">
        <f>IF(Minority&gt;=Minority_Thrshld,Min_Pts,0)</f>
        <v>5</v>
      </c>
      <c r="M32" s="321">
        <f>VLOOKUP(A32,Low_Income_Minority!$A$3:$J$115,10,FALSE)</f>
        <v>0.9954703832830778</v>
      </c>
      <c r="N32" s="61">
        <f t="shared" si="2"/>
        <v>5</v>
      </c>
      <c r="O32" s="12" t="str">
        <f>VLOOKUP(A32,Primary_Connections_To_Centers!$A$3:$K$116,9,FALSE)</f>
        <v>Yes</v>
      </c>
      <c r="P32" s="60">
        <f t="shared" si="3"/>
        <v>5</v>
      </c>
      <c r="Q32" s="5" t="str">
        <f>VLOOKUP(A32,Primary_Connections_To_Centers!$A$3:$K$116,10,FALSE)</f>
        <v>Yes</v>
      </c>
      <c r="R32" s="60">
        <f t="shared" si="4"/>
        <v>5</v>
      </c>
      <c r="S32" s="174">
        <f t="shared" si="5"/>
        <v>20</v>
      </c>
      <c r="T32" s="174"/>
      <c r="U32" s="280"/>
      <c r="V32" s="7">
        <f t="shared" si="6"/>
        <v>15</v>
      </c>
      <c r="W32" s="7">
        <f t="shared" si="7"/>
        <v>30</v>
      </c>
      <c r="X32" s="7">
        <f t="shared" si="8"/>
        <v>30</v>
      </c>
      <c r="Y32" s="5">
        <f>VLOOKUP(A32,Step_II_Load_CostRecovery_Sum!$A$5:$T$117,14,FALSE)</f>
        <v>0.41</v>
      </c>
      <c r="Z32" s="282">
        <f>VLOOKUP($A32,Step_II_Load_CostRecovery_Sum!$A$5:$T$117,15,FALSE)</f>
        <v>0.73</v>
      </c>
      <c r="AA32" s="5">
        <f t="shared" si="9"/>
        <v>0</v>
      </c>
      <c r="AB32" s="282">
        <f t="shared" si="10"/>
        <v>0</v>
      </c>
      <c r="AC32" s="288">
        <f>VLOOKUP($A32,Step_II_Load_CostRecovery_Sum!$A$5:$AE$117,29,FALSE)</f>
        <v>0.14535759096612297</v>
      </c>
      <c r="AD32" s="289">
        <f>VLOOKUP($A32,Step_II_Load_CostRecovery_Sum!$A$5:$AE$117,30,FALSE)</f>
        <v>0.24369353826850693</v>
      </c>
      <c r="AE32" s="290" t="str">
        <f>VLOOKUP($A32,Step_II_Load_CostRecovery_Sum!$A$5:$AE$117,31,FALSE)</f>
        <v>N/A</v>
      </c>
      <c r="AF32" s="5">
        <f t="shared" si="11"/>
        <v>0</v>
      </c>
      <c r="AG32" s="6">
        <f t="shared" si="12"/>
        <v>0</v>
      </c>
      <c r="AH32" s="282" t="str">
        <f t="shared" si="13"/>
        <v>N/A</v>
      </c>
      <c r="AI32" s="5">
        <f t="shared" si="14"/>
        <v>60</v>
      </c>
      <c r="AJ32" s="17" t="str">
        <f t="shared" si="15"/>
        <v>N/A</v>
      </c>
      <c r="AK32" s="6">
        <f t="shared" si="16"/>
        <v>30</v>
      </c>
      <c r="AL32" s="282">
        <f t="shared" si="17"/>
        <v>30</v>
      </c>
      <c r="AM32" s="21"/>
      <c r="AN32" s="283">
        <f t="shared" si="18"/>
        <v>0</v>
      </c>
      <c r="AO32" s="266">
        <f t="shared" si="19"/>
        <v>0</v>
      </c>
      <c r="AP32" s="209">
        <f t="shared" si="20"/>
        <v>0</v>
      </c>
      <c r="AQ32" s="5">
        <f t="shared" si="21"/>
        <v>15</v>
      </c>
      <c r="AR32" s="6">
        <f t="shared" si="22"/>
        <v>30</v>
      </c>
      <c r="AS32" s="17">
        <f t="shared" si="23"/>
        <v>30</v>
      </c>
      <c r="AT32" s="31" t="str">
        <f t="shared" si="24"/>
        <v>Frequent</v>
      </c>
      <c r="AU32" s="284">
        <v>3</v>
      </c>
      <c r="AV32" s="182">
        <v>3</v>
      </c>
      <c r="AW32" s="285">
        <v>3</v>
      </c>
      <c r="AX32" s="281">
        <f t="shared" si="32"/>
        <v>2</v>
      </c>
      <c r="AY32" s="182">
        <f t="shared" si="32"/>
        <v>3</v>
      </c>
      <c r="AZ32" s="285">
        <f t="shared" si="28"/>
        <v>3</v>
      </c>
      <c r="BA32" s="5">
        <f t="shared" si="25"/>
        <v>-1</v>
      </c>
      <c r="BB32" s="6">
        <f t="shared" si="26"/>
        <v>0</v>
      </c>
      <c r="BC32" s="282">
        <f t="shared" si="27"/>
        <v>0</v>
      </c>
    </row>
    <row r="33" spans="1:55" ht="12.75">
      <c r="A33" t="s">
        <v>100</v>
      </c>
      <c r="B33" s="79">
        <v>30</v>
      </c>
      <c r="C33" s="5" t="s">
        <v>97</v>
      </c>
      <c r="D33" s="6" t="s">
        <v>4</v>
      </c>
      <c r="E33" s="6" t="s">
        <v>51</v>
      </c>
      <c r="F33" s="10">
        <v>150</v>
      </c>
      <c r="G33" s="67">
        <f>VLOOKUP($A33,HH_Jobs_CorridorLength!$A$2:$F$116,5,FALSE)</f>
        <v>404.1734605087398</v>
      </c>
      <c r="H33" s="62">
        <f t="shared" si="0"/>
        <v>0</v>
      </c>
      <c r="I33" s="67">
        <f>VLOOKUP($A33,HH_Jobs_CorridorLength!$A$2:$F$116,6,FALSE)</f>
        <v>5625.859349017568</v>
      </c>
      <c r="J33" s="62">
        <f t="shared" si="1"/>
        <v>0</v>
      </c>
      <c r="K33" s="319">
        <f>VLOOKUP(A33,Low_Income_Minority!$A$3:$J$115,8,FALSE)</f>
        <v>1</v>
      </c>
      <c r="L33" s="60">
        <f>IF(Minority&gt;=Minority_Thrshld,Min_Pts,0)</f>
        <v>5</v>
      </c>
      <c r="M33" s="321">
        <f>VLOOKUP(A33,Low_Income_Minority!$A$3:$J$115,10,FALSE)</f>
        <v>0.9998697916626026</v>
      </c>
      <c r="N33" s="61">
        <f t="shared" si="2"/>
        <v>5</v>
      </c>
      <c r="O33" s="57" t="str">
        <f>VLOOKUP(A33,Primary_Connections_To_Centers!$A$3:$K$116,9,FALSE)</f>
        <v>Yes</v>
      </c>
      <c r="P33" s="60">
        <f t="shared" si="3"/>
        <v>5</v>
      </c>
      <c r="Q33" s="38" t="str">
        <f>VLOOKUP(A33,Primary_Connections_To_Centers!$A$3:$K$116,10,FALSE)</f>
        <v>Yes</v>
      </c>
      <c r="R33" s="60">
        <f t="shared" si="4"/>
        <v>5</v>
      </c>
      <c r="S33" s="65">
        <f t="shared" si="5"/>
        <v>20</v>
      </c>
      <c r="T33" s="65"/>
      <c r="U33" s="73"/>
      <c r="V33" s="64">
        <f t="shared" si="6"/>
        <v>15</v>
      </c>
      <c r="W33" s="64">
        <f t="shared" si="7"/>
        <v>30</v>
      </c>
      <c r="X33" s="64">
        <f t="shared" si="8"/>
        <v>30</v>
      </c>
      <c r="Y33" s="38">
        <f>VLOOKUP(A33,Step_II_Load_CostRecovery_Sum!$A$5:$T$117,14,FALSE)</f>
        <v>0.71</v>
      </c>
      <c r="Z33" s="167">
        <f>VLOOKUP($A33,Step_II_Load_CostRecovery_Sum!$A$5:$T$117,15,FALSE)</f>
        <v>1.08</v>
      </c>
      <c r="AA33" s="38">
        <f t="shared" si="9"/>
        <v>0</v>
      </c>
      <c r="AB33" s="167">
        <f t="shared" si="10"/>
        <v>1</v>
      </c>
      <c r="AC33" s="288">
        <f>VLOOKUP($A33,Step_II_Load_CostRecovery_Sum!$A$5:$AE$117,29,FALSE)</f>
        <v>0.29533406524466754</v>
      </c>
      <c r="AD33" s="289">
        <f>VLOOKUP($A33,Step_II_Load_CostRecovery_Sum!$A$5:$AE$117,30,FALSE)</f>
        <v>0.4248306148055207</v>
      </c>
      <c r="AE33" s="290">
        <f>VLOOKUP($A33,Step_II_Load_CostRecovery_Sum!$A$5:$AE$117,31,FALSE)</f>
        <v>0.16422992471769138</v>
      </c>
      <c r="AF33" s="38">
        <f t="shared" si="11"/>
        <v>0</v>
      </c>
      <c r="AG33" s="25">
        <f t="shared" si="12"/>
        <v>0</v>
      </c>
      <c r="AH33" s="167">
        <f t="shared" si="13"/>
        <v>0</v>
      </c>
      <c r="AI33" s="38">
        <f t="shared" si="14"/>
        <v>60</v>
      </c>
      <c r="AJ33" s="170">
        <f t="shared" si="15"/>
        <v>30</v>
      </c>
      <c r="AK33" s="25">
        <f t="shared" si="16"/>
        <v>30</v>
      </c>
      <c r="AL33" s="167">
        <f t="shared" si="17"/>
        <v>30</v>
      </c>
      <c r="AN33" s="220">
        <f t="shared" si="18"/>
        <v>0</v>
      </c>
      <c r="AO33" s="26">
        <f t="shared" si="19"/>
        <v>1</v>
      </c>
      <c r="AP33" s="209">
        <f t="shared" si="20"/>
        <v>0</v>
      </c>
      <c r="AQ33" s="38">
        <f t="shared" si="21"/>
        <v>15</v>
      </c>
      <c r="AR33" s="25">
        <f t="shared" si="22"/>
        <v>15</v>
      </c>
      <c r="AS33" s="170">
        <f t="shared" si="23"/>
        <v>30</v>
      </c>
      <c r="AT33" s="253" t="str">
        <f t="shared" si="24"/>
        <v>Very Frequent</v>
      </c>
      <c r="AU33" s="251">
        <v>2</v>
      </c>
      <c r="AV33" s="41">
        <v>2</v>
      </c>
      <c r="AW33" s="207">
        <v>3</v>
      </c>
      <c r="AX33" s="175">
        <f t="shared" si="32"/>
        <v>2</v>
      </c>
      <c r="AY33" s="41">
        <f t="shared" si="32"/>
        <v>2</v>
      </c>
      <c r="AZ33" s="207">
        <f t="shared" si="28"/>
        <v>3</v>
      </c>
      <c r="BA33" s="38">
        <f t="shared" si="25"/>
        <v>0</v>
      </c>
      <c r="BB33" s="25">
        <f t="shared" si="26"/>
        <v>0</v>
      </c>
      <c r="BC33" s="167">
        <f t="shared" si="27"/>
        <v>0</v>
      </c>
    </row>
    <row r="34" spans="1:55" ht="12.75">
      <c r="A34" t="s">
        <v>96</v>
      </c>
      <c r="B34" s="79">
        <v>31</v>
      </c>
      <c r="C34" s="5" t="s">
        <v>97</v>
      </c>
      <c r="D34" s="6" t="s">
        <v>98</v>
      </c>
      <c r="E34" s="6" t="s">
        <v>99</v>
      </c>
      <c r="F34" s="10">
        <v>169</v>
      </c>
      <c r="G34" s="67">
        <f>VLOOKUP($A34,HH_Jobs_CorridorLength!$A$2:$F$116,5,FALSE)</f>
        <v>743.6933929166158</v>
      </c>
      <c r="H34" s="62">
        <f t="shared" si="0"/>
        <v>0</v>
      </c>
      <c r="I34" s="67">
        <f>VLOOKUP($A34,HH_Jobs_CorridorLength!$A$2:$F$116,6,FALSE)</f>
        <v>1080.855418718001</v>
      </c>
      <c r="J34" s="62">
        <f t="shared" si="1"/>
        <v>0</v>
      </c>
      <c r="K34" s="319">
        <f>VLOOKUP(A34,Low_Income_Minority!$A$3:$J$115,8,FALSE)</f>
        <v>1</v>
      </c>
      <c r="L34" s="60">
        <f>IF(Minority&gt;=Minority_Thrshld,Min_Pts,0)</f>
        <v>5</v>
      </c>
      <c r="M34" s="321">
        <f>VLOOKUP(A34,Low_Income_Minority!$A$3:$J$115,10,FALSE)</f>
        <v>0.8511119501409895</v>
      </c>
      <c r="N34" s="61">
        <f t="shared" si="2"/>
        <v>5</v>
      </c>
      <c r="O34" s="57" t="str">
        <f>VLOOKUP(A34,Primary_Connections_To_Centers!$A$3:$K$116,9,FALSE)</f>
        <v>Yes</v>
      </c>
      <c r="P34" s="60">
        <f t="shared" si="3"/>
        <v>5</v>
      </c>
      <c r="Q34" s="38" t="str">
        <f>VLOOKUP(A34,Primary_Connections_To_Centers!$A$3:$K$116,10,FALSE)</f>
        <v>Yes</v>
      </c>
      <c r="R34" s="60">
        <f t="shared" si="4"/>
        <v>5</v>
      </c>
      <c r="S34" s="65">
        <f t="shared" si="5"/>
        <v>20</v>
      </c>
      <c r="T34" s="65"/>
      <c r="U34" s="73"/>
      <c r="V34" s="64">
        <f t="shared" si="6"/>
        <v>15</v>
      </c>
      <c r="W34" s="64">
        <f t="shared" si="7"/>
        <v>30</v>
      </c>
      <c r="X34" s="64">
        <f t="shared" si="8"/>
        <v>30</v>
      </c>
      <c r="Y34" s="38">
        <f>VLOOKUP(A34,Step_II_Load_CostRecovery_Sum!$A$5:$T$117,14,FALSE)</f>
        <v>0.78</v>
      </c>
      <c r="Z34" s="167">
        <f>VLOOKUP($A34,Step_II_Load_CostRecovery_Sum!$A$5:$T$117,15,FALSE)</f>
        <v>0.67</v>
      </c>
      <c r="AA34" s="38">
        <f t="shared" si="9"/>
        <v>0</v>
      </c>
      <c r="AB34" s="167">
        <f t="shared" si="10"/>
        <v>0</v>
      </c>
      <c r="AC34" s="288">
        <f>VLOOKUP($A34,Step_II_Load_CostRecovery_Sum!$A$5:$AE$117,29,FALSE)</f>
        <v>0.2000752823086575</v>
      </c>
      <c r="AD34" s="289">
        <f>VLOOKUP($A34,Step_II_Load_CostRecovery_Sum!$A$5:$AE$117,30,FALSE)</f>
        <v>0.38463770388958596</v>
      </c>
      <c r="AE34" s="290">
        <f>VLOOKUP($A34,Step_II_Load_CostRecovery_Sum!$A$5:$AE$117,31,FALSE)</f>
        <v>0.21917816813048935</v>
      </c>
      <c r="AF34" s="38">
        <f t="shared" si="11"/>
        <v>0</v>
      </c>
      <c r="AG34" s="25">
        <f t="shared" si="12"/>
        <v>0</v>
      </c>
      <c r="AH34" s="167">
        <f t="shared" si="13"/>
        <v>0</v>
      </c>
      <c r="AI34" s="38">
        <f t="shared" si="14"/>
        <v>60</v>
      </c>
      <c r="AJ34" s="170">
        <f t="shared" si="15"/>
        <v>30</v>
      </c>
      <c r="AK34" s="25">
        <f t="shared" si="16"/>
        <v>30</v>
      </c>
      <c r="AL34" s="167">
        <f t="shared" si="17"/>
        <v>30</v>
      </c>
      <c r="AN34" s="220">
        <f t="shared" si="18"/>
        <v>0</v>
      </c>
      <c r="AO34" s="26">
        <f t="shared" si="19"/>
        <v>0</v>
      </c>
      <c r="AP34" s="209">
        <f t="shared" si="20"/>
        <v>0</v>
      </c>
      <c r="AQ34" s="38">
        <f t="shared" si="21"/>
        <v>15</v>
      </c>
      <c r="AR34" s="25">
        <f t="shared" si="22"/>
        <v>30</v>
      </c>
      <c r="AS34" s="170">
        <f t="shared" si="23"/>
        <v>30</v>
      </c>
      <c r="AT34" s="253" t="str">
        <f t="shared" si="24"/>
        <v>Frequent</v>
      </c>
      <c r="AU34" s="251">
        <v>3</v>
      </c>
      <c r="AV34" s="41">
        <v>3</v>
      </c>
      <c r="AW34" s="207">
        <v>3</v>
      </c>
      <c r="AX34" s="175">
        <f t="shared" si="32"/>
        <v>2</v>
      </c>
      <c r="AY34" s="41">
        <f t="shared" si="32"/>
        <v>3</v>
      </c>
      <c r="AZ34" s="207">
        <f t="shared" si="28"/>
        <v>3</v>
      </c>
      <c r="BA34" s="38">
        <f t="shared" si="25"/>
        <v>-1</v>
      </c>
      <c r="BB34" s="25">
        <f t="shared" si="26"/>
        <v>0</v>
      </c>
      <c r="BC34" s="167">
        <f t="shared" si="27"/>
        <v>0</v>
      </c>
    </row>
    <row r="35" spans="1:55" ht="12.75">
      <c r="A35" t="s">
        <v>91</v>
      </c>
      <c r="B35" s="79">
        <v>32</v>
      </c>
      <c r="C35" s="5" t="s">
        <v>92</v>
      </c>
      <c r="D35" s="6" t="s">
        <v>93</v>
      </c>
      <c r="E35" s="6" t="s">
        <v>94</v>
      </c>
      <c r="F35" s="8" t="s">
        <v>95</v>
      </c>
      <c r="G35" s="67">
        <f>VLOOKUP($A35,HH_Jobs_CorridorLength!$A$2:$F$116,5,FALSE)</f>
        <v>729.9156460410171</v>
      </c>
      <c r="H35" s="62">
        <f t="shared" si="0"/>
        <v>0</v>
      </c>
      <c r="I35" s="67">
        <f>VLOOKUP($A35,HH_Jobs_CorridorLength!$A$2:$F$116,6,FALSE)</f>
        <v>1057.1312341993619</v>
      </c>
      <c r="J35" s="62">
        <f t="shared" si="1"/>
        <v>0</v>
      </c>
      <c r="K35" s="319">
        <f>VLOOKUP(A35,Low_Income_Minority!$A$3:$J$115,8,FALSE)</f>
        <v>1</v>
      </c>
      <c r="L35" s="60">
        <f>IF(Minority&gt;=Minority_Thrshld,Min_Pts,0)</f>
        <v>5</v>
      </c>
      <c r="M35" s="321">
        <f>VLOOKUP(A35,Low_Income_Minority!$A$3:$J$115,10,FALSE)</f>
        <v>0.84</v>
      </c>
      <c r="N35" s="61">
        <f t="shared" si="2"/>
        <v>5</v>
      </c>
      <c r="O35" s="57" t="str">
        <f>VLOOKUP(A35,Primary_Connections_To_Centers!$A$3:$K$116,9,FALSE)</f>
        <v>Yes</v>
      </c>
      <c r="P35" s="60">
        <f t="shared" si="3"/>
        <v>5</v>
      </c>
      <c r="Q35" s="38" t="str">
        <f>VLOOKUP(A35,Primary_Connections_To_Centers!$A$3:$K$116,10,FALSE)</f>
        <v>Yes</v>
      </c>
      <c r="R35" s="60">
        <f t="shared" si="4"/>
        <v>5</v>
      </c>
      <c r="S35" s="65">
        <f t="shared" si="5"/>
        <v>20</v>
      </c>
      <c r="T35" s="65" t="s">
        <v>599</v>
      </c>
      <c r="U35" s="73"/>
      <c r="V35" s="64" t="str">
        <f t="shared" si="6"/>
        <v>Better than 15 min</v>
      </c>
      <c r="W35" s="64">
        <f t="shared" si="7"/>
        <v>15</v>
      </c>
      <c r="X35" s="64">
        <f t="shared" si="8"/>
        <v>15</v>
      </c>
      <c r="Y35" s="38">
        <f>VLOOKUP(A35,Step_II_Load_CostRecovery_Sum!$A$5:$T$117,14,FALSE)</f>
        <v>0.51</v>
      </c>
      <c r="Z35" s="167">
        <f>VLOOKUP($A35,Step_II_Load_CostRecovery_Sum!$A$5:$T$117,15,FALSE)</f>
        <v>0.62</v>
      </c>
      <c r="AA35" s="38">
        <f t="shared" si="9"/>
        <v>0</v>
      </c>
      <c r="AB35" s="167">
        <f t="shared" si="10"/>
        <v>0</v>
      </c>
      <c r="AC35" s="288">
        <f>VLOOKUP($A35,Step_II_Load_CostRecovery_Sum!$A$5:$AE$117,29,FALSE)</f>
        <v>0.40928481806775413</v>
      </c>
      <c r="AD35" s="289">
        <f>VLOOKUP($A35,Step_II_Load_CostRecovery_Sum!$A$5:$AE$117,30,FALSE)</f>
        <v>0.45580144291091595</v>
      </c>
      <c r="AE35" s="290">
        <f>VLOOKUP($A35,Step_II_Load_CostRecovery_Sum!$A$5:$AE$117,31,FALSE)</f>
        <v>0.23785288582183187</v>
      </c>
      <c r="AF35" s="38">
        <f t="shared" si="11"/>
        <v>0</v>
      </c>
      <c r="AG35" s="25">
        <f t="shared" si="12"/>
        <v>0</v>
      </c>
      <c r="AH35" s="167">
        <f t="shared" si="13"/>
        <v>0</v>
      </c>
      <c r="AI35" s="38">
        <f t="shared" si="14"/>
        <v>60</v>
      </c>
      <c r="AJ35" s="170">
        <f t="shared" si="15"/>
        <v>30</v>
      </c>
      <c r="AK35" s="25">
        <f t="shared" si="16"/>
        <v>30</v>
      </c>
      <c r="AL35" s="167">
        <f t="shared" si="17"/>
        <v>30</v>
      </c>
      <c r="AN35" s="220">
        <f t="shared" si="18"/>
        <v>0</v>
      </c>
      <c r="AO35" s="26">
        <f t="shared" si="19"/>
        <v>0</v>
      </c>
      <c r="AP35" s="209">
        <f t="shared" si="20"/>
        <v>0</v>
      </c>
      <c r="AQ35" s="38" t="str">
        <f t="shared" si="21"/>
        <v>Better than 15 min</v>
      </c>
      <c r="AR35" s="25">
        <f t="shared" si="22"/>
        <v>15</v>
      </c>
      <c r="AS35" s="170">
        <f t="shared" si="23"/>
        <v>15</v>
      </c>
      <c r="AT35" s="253" t="str">
        <f t="shared" si="24"/>
        <v>Very Frequent</v>
      </c>
      <c r="AU35" s="251">
        <v>1</v>
      </c>
      <c r="AV35" s="41">
        <v>2</v>
      </c>
      <c r="AW35" s="207">
        <v>2</v>
      </c>
      <c r="AX35" s="175">
        <f t="shared" si="32"/>
        <v>1</v>
      </c>
      <c r="AY35" s="41">
        <f t="shared" si="32"/>
        <v>2</v>
      </c>
      <c r="AZ35" s="207">
        <f t="shared" si="28"/>
        <v>2</v>
      </c>
      <c r="BA35" s="38">
        <f t="shared" si="25"/>
        <v>0</v>
      </c>
      <c r="BB35" s="25">
        <f t="shared" si="26"/>
        <v>0</v>
      </c>
      <c r="BC35" s="167">
        <f t="shared" si="27"/>
        <v>0</v>
      </c>
    </row>
    <row r="36" spans="1:55" ht="12.75">
      <c r="A36" t="s">
        <v>29</v>
      </c>
      <c r="B36" s="79">
        <v>33</v>
      </c>
      <c r="C36" s="5" t="s">
        <v>8</v>
      </c>
      <c r="D36" s="6" t="s">
        <v>4</v>
      </c>
      <c r="E36" s="6" t="s">
        <v>30</v>
      </c>
      <c r="F36" s="10">
        <v>10</v>
      </c>
      <c r="G36" s="67">
        <f>VLOOKUP($A36,HH_Jobs_CorridorLength!$A$2:$F$116,5,FALSE)</f>
        <v>4150.405828706761</v>
      </c>
      <c r="H36" s="62">
        <f aca="true" t="shared" si="33" ref="H36:H67">IF(Households__Corridor_Mile&gt;HH_High_Thrshld,HH_High_Pts,IF(Households__Corridor_Mile&gt;HH_Mid_Thrshld,HH_Mid_Pts,IF(Households__Corridor_Mile&gt;HH_Low_Thrshld,HH_Low_Pts,0)))</f>
        <v>10</v>
      </c>
      <c r="I36" s="67">
        <f>VLOOKUP($A36,HH_Jobs_CorridorLength!$A$2:$F$116,6,FALSE)</f>
        <v>21367.25652401399</v>
      </c>
      <c r="J36" s="62">
        <f aca="true" t="shared" si="34" ref="J36:J67">IF(Jobs__CorridorMile&gt;Jobs_High_Thrshld,Jobs_High_Pts,IF(Jobs__CorridorMile&gt;Jobs_Mid_Thrshld,Jobs_Mid_pts,IF(Jobs__CorridorMile&gt;Jobs_Low_Thrshld,Jobs_Low_Pts,0)))</f>
        <v>10</v>
      </c>
      <c r="K36" s="319">
        <f>VLOOKUP(A36,Low_Income_Minority!$A$3:$J$115,8,FALSE)</f>
        <v>0</v>
      </c>
      <c r="L36" s="60">
        <f>IF(Minority&gt;=Minority_Thrshld,Min_Pts,0)</f>
        <v>0</v>
      </c>
      <c r="M36" s="321">
        <f>VLOOKUP(A36,Low_Income_Minority!$A$3:$J$115,10,FALSE)</f>
        <v>0.4002733815309661</v>
      </c>
      <c r="N36" s="61">
        <f aca="true" t="shared" si="35" ref="N36:N67">IF(Low_Income&gt;=Demo_Thrshld,Demo_Pts,0)</f>
        <v>0</v>
      </c>
      <c r="O36" s="57" t="str">
        <f>VLOOKUP(A36,Primary_Connections_To_Centers!$A$3:$K$116,9,FALSE)</f>
        <v>No</v>
      </c>
      <c r="P36" s="60">
        <f aca="true" t="shared" si="36" ref="P36:P67">IF(O36=P$120,O$120,IF(O36&gt;P$121,O$121,0))</f>
        <v>0</v>
      </c>
      <c r="Q36" s="38" t="str">
        <f>VLOOKUP(A36,Primary_Connections_To_Centers!$A$3:$K$116,10,FALSE)</f>
        <v>No</v>
      </c>
      <c r="R36" s="60">
        <f aca="true" t="shared" si="37" ref="R36:R67">IF(Q36=R$120,Q$120,IF(Q36&gt;R$121,Q$121,0))</f>
        <v>0</v>
      </c>
      <c r="S36" s="65">
        <f aca="true" t="shared" si="38" ref="S36:S67">HH_Pts+Jobs_Pts+Minority_Pts+Low_Income_Pts+ActivityCntr_Pts+RegionalCntr_Pts</f>
        <v>20</v>
      </c>
      <c r="T36" s="65"/>
      <c r="U36" s="73"/>
      <c r="V36" s="64">
        <f aca="true" t="shared" si="39" ref="V36:V67">IF(RapidRide="YES","Better than 15 min",IF(Total_Score&gt;Peak_15min_Pts,LOS_15Min,IF(Total_Score&gt;Peak_30min_Pts,LOS_30Min,IF(Total_Score&gt;Peak_60min_Pts,LOS_60Min,0))))</f>
        <v>15</v>
      </c>
      <c r="W36" s="64">
        <f aca="true" t="shared" si="40" ref="W36:W67">IF(RapidRide="YES",15,IF(Total_Score&gt;OffPeak_15min_Pts,LOS_15Min,IF(Total_Score&gt;OffPeak_30min_Pts,LOS_30Min,IF(Total_Score&gt;OffPeak_60min_Pts,LOS_60Min,0))))</f>
        <v>30</v>
      </c>
      <c r="X36" s="64">
        <f aca="true" t="shared" si="41" ref="X36:X67">IF(RapidRide="YES",15,IF(Total_Score&gt;Night_15min_Pts,LOS_15Min,IF(Total_Score&gt;Night_30min_Pts,LOS_30Min,IF(Total_Score&gt;Night_60min_Pts,LOS_60Min,0))))</f>
        <v>30</v>
      </c>
      <c r="Y36" s="38">
        <f>VLOOKUP(A36,Step_II_Load_CostRecovery_Sum!$A$5:$T$117,14,FALSE)</f>
        <v>1.08</v>
      </c>
      <c r="Z36" s="167">
        <f>VLOOKUP($A36,Step_II_Load_CostRecovery_Sum!$A$5:$T$117,15,FALSE)</f>
        <v>0.69</v>
      </c>
      <c r="AA36" s="38">
        <f aca="true" t="shared" si="42" ref="AA36:AA67">IF(Peak_Load="N/A","N/A",IF(Peak_Load&gt;=Load_1.5,Load_2StepIncrease,IF(Peak_Load&gt;=Load_0.8,Load_1StepIncrease,0)))</f>
        <v>1</v>
      </c>
      <c r="AB36" s="167">
        <f aca="true" t="shared" si="43" ref="AB36:AB67">IF(OffPeak_Load="N/A","N/A",IF(OffPeak_Load&gt;=Load_1.5,Load_2StepIncrease,IF(OffPeak_Load&gt;=Load_0.8,Load_1StepIncrease,0)))</f>
        <v>0</v>
      </c>
      <c r="AC36" s="288">
        <f>VLOOKUP($A36,Step_II_Load_CostRecovery_Sum!$A$5:$AE$117,29,FALSE)</f>
        <v>0.7346925972396489</v>
      </c>
      <c r="AD36" s="289">
        <f>VLOOKUP($A36,Step_II_Load_CostRecovery_Sum!$A$5:$AE$117,30,FALSE)</f>
        <v>0.8518130489335006</v>
      </c>
      <c r="AE36" s="290">
        <f>VLOOKUP($A36,Step_II_Load_CostRecovery_Sum!$A$5:$AE$117,31,FALSE)</f>
        <v>0.2941844416562108</v>
      </c>
      <c r="AF36" s="38">
        <f aca="true" t="shared" si="44" ref="AF36:AF67">IF(Peak_CostRecovery="N/A","N/A",IF(Peak_CostRecovery&gt;=CostRecovery100,CostRecovery100_StepIncrease,IF(Peak_CostRecovery&gt;=CostRecovery50,CostRecovery50_StepIncrease,0)))</f>
        <v>1</v>
      </c>
      <c r="AG36" s="25">
        <f aca="true" t="shared" si="45" ref="AG36:AG67">IF(OffPeak_CostRecovery="N/A","N/A",IF(OffPeak_CostRecovery&gt;=CostRecovery100,CostRecovery100_StepIncrease,IF(OffPeak_CostRecovery&gt;=CostRecovery50,CostRecovery50_StepIncrease,0)))</f>
        <v>1</v>
      </c>
      <c r="AH36" s="167">
        <f aca="true" t="shared" si="46" ref="AH36:AH67">IF(Night_CostRecovery="N/A","N/A",IF(Night_CostRecovery&gt;=CostRecovery100,CostRecovery100_StepIncrease,IF(Night_CostRecovery&gt;=CostRecovery33,CostRecovery33_StepIncrease,0)))</f>
        <v>0</v>
      </c>
      <c r="AI36" s="38">
        <f aca="true" t="shared" si="47" ref="AI36:AI67">IF(RegionalCntr_Pts=5,60,0)</f>
        <v>0</v>
      </c>
      <c r="AJ36" s="170">
        <f aca="true" t="shared" si="48" ref="AJ36:AJ67">IF(Night_CostRecovery="N/A","N/A",IF(Night_CostRecovery&gt;=CostRecovery16,CostRecovery16_StepIncrease,IF(Night_CostRecovery&gt;=CostRecovery8,CostRecovery8_StepIncrease,0)))</f>
        <v>30</v>
      </c>
      <c r="AK36" s="25">
        <f aca="true" t="shared" si="49" ref="AK36:AK67">IF(FinalPeak_Service=15,30,IF(FinalPeak_Service="Better than 15 min",30,0))</f>
        <v>30</v>
      </c>
      <c r="AL36" s="167">
        <f aca="true" t="shared" si="50" ref="AL36:AL67">IF(AK36=30,30,IF(AJ36=30,30,IF(AJ36=60,60,IF(AI36=60,60,0))))</f>
        <v>30</v>
      </c>
      <c r="AN36" s="220">
        <f aca="true" t="shared" si="51" ref="AN36:AN67">IF(AA36=2,2,IF(AF36=2,2,IF(AF36=1,1,IF(AA36=1,1,0))))</f>
        <v>1</v>
      </c>
      <c r="AO36" s="26">
        <f aca="true" t="shared" si="52" ref="AO36:AO67">IF(AB36=2,2,IF(AG36=2,2,IF(AG36=1,1,IF(AB36=1,1,0))))</f>
        <v>1</v>
      </c>
      <c r="AP36" s="209">
        <f aca="true" t="shared" si="53" ref="AP36:AP67">IF(AC36=2,2,IF(AH36=2,2,IF(AH36=1,1,IF(AC36=1,1,0))))</f>
        <v>0</v>
      </c>
      <c r="AQ36" s="38" t="str">
        <f aca="true" t="shared" si="54" ref="AQ36:AQ67">IF(V36="Better than 15 min",V36,IF(AN36=2,IF(V36&lt;=30,"Better than 15 min",IF(V36=60,15,30)),IF(AN36=1,IF(V36=15,"Better than 15 min",IF(V36=30,15,30)),V36)))</f>
        <v>Better than 15 min</v>
      </c>
      <c r="AR36" s="25">
        <f aca="true" t="shared" si="55" ref="AR36:AR67">IF(AO36=2,IF(W36&lt;=30,"Better than 15 min",IF(W36=60,15,30)),IF(AO36=1,IF(W36=15,"Better than 15 min",IF(W36=30,15,30)),W36))</f>
        <v>15</v>
      </c>
      <c r="AS36" s="170">
        <f aca="true" t="shared" si="56" ref="AS36:AS67">IF(AP36=2,IF(X36&gt;=30,"Better than 15 min",IF(X36=60,15,30)),IF(AP36=1,IF(X36=15,"Better than 15 min",IF(X36=30,15,30)),IF(X36=0,AL36,IF(AL36&lt;X36,AL36,X36))))</f>
        <v>30</v>
      </c>
      <c r="AT36" s="253" t="str">
        <f aca="true" t="shared" si="57" ref="AT36:AT67">IF(AX36&lt;=2,IF(AY36&lt;=2,"Very Frequent","Frequent"),IF(AX36&lt;=4,"Local","Hourly"))</f>
        <v>Very Frequent</v>
      </c>
      <c r="AU36" s="251">
        <v>1</v>
      </c>
      <c r="AV36" s="41">
        <v>2</v>
      </c>
      <c r="AW36" s="207">
        <v>3</v>
      </c>
      <c r="AX36" s="175">
        <f t="shared" si="32"/>
        <v>1</v>
      </c>
      <c r="AY36" s="41">
        <f t="shared" si="32"/>
        <v>2</v>
      </c>
      <c r="AZ36" s="207">
        <f t="shared" si="28"/>
        <v>3</v>
      </c>
      <c r="BA36" s="38">
        <f aca="true" t="shared" si="58" ref="BA36:BA67">AX36-AU36</f>
        <v>0</v>
      </c>
      <c r="BB36" s="25">
        <f aca="true" t="shared" si="59" ref="BB36:BB67">AY36-AV36</f>
        <v>0</v>
      </c>
      <c r="BC36" s="167">
        <f aca="true" t="shared" si="60" ref="BC36:BC67">AZ36-AW36</f>
        <v>0</v>
      </c>
    </row>
    <row r="37" spans="1:55" ht="12.75">
      <c r="A37" t="s">
        <v>143</v>
      </c>
      <c r="B37" s="79">
        <v>34</v>
      </c>
      <c r="C37" s="5" t="s">
        <v>3</v>
      </c>
      <c r="D37" s="6" t="s">
        <v>105</v>
      </c>
      <c r="E37" s="6" t="s">
        <v>144</v>
      </c>
      <c r="F37" s="10">
        <v>75</v>
      </c>
      <c r="G37" s="67">
        <f>VLOOKUP($A37,HH_Jobs_CorridorLength!$A$2:$F$116,5,FALSE)</f>
        <v>1911.0444504423933</v>
      </c>
      <c r="H37" s="62">
        <f t="shared" si="33"/>
        <v>4</v>
      </c>
      <c r="I37" s="67">
        <f>VLOOKUP($A37,HH_Jobs_CorridorLength!$A$2:$F$116,6,FALSE)</f>
        <v>1659.517117150973</v>
      </c>
      <c r="J37" s="62">
        <f t="shared" si="34"/>
        <v>0</v>
      </c>
      <c r="K37" s="319">
        <f>VLOOKUP(A37,Low_Income_Minority!$A$3:$J$115,8,FALSE)</f>
        <v>0.344666009367436</v>
      </c>
      <c r="L37" s="60">
        <f>IF(Minority&gt;=Minority_Thrshld,Min_Pts,0)</f>
        <v>0</v>
      </c>
      <c r="M37" s="321">
        <f>VLOOKUP(A37,Low_Income_Minority!$A$3:$J$115,10,FALSE)</f>
        <v>0.6494503951719205</v>
      </c>
      <c r="N37" s="61">
        <f t="shared" si="35"/>
        <v>5</v>
      </c>
      <c r="O37" s="57" t="str">
        <f>VLOOKUP(A37,Primary_Connections_To_Centers!$A$3:$K$116,9,FALSE)</f>
        <v>Yes</v>
      </c>
      <c r="P37" s="60">
        <f t="shared" si="36"/>
        <v>5</v>
      </c>
      <c r="Q37" s="38" t="str">
        <f>VLOOKUP(A37,Primary_Connections_To_Centers!$A$3:$K$116,10,FALSE)</f>
        <v>Yes</v>
      </c>
      <c r="R37" s="60">
        <f t="shared" si="37"/>
        <v>5</v>
      </c>
      <c r="S37" s="65">
        <f t="shared" si="38"/>
        <v>19</v>
      </c>
      <c r="T37" s="65"/>
      <c r="U37" s="73"/>
      <c r="V37" s="64">
        <f t="shared" si="39"/>
        <v>15</v>
      </c>
      <c r="W37" s="64">
        <f t="shared" si="40"/>
        <v>30</v>
      </c>
      <c r="X37" s="64">
        <f t="shared" si="41"/>
        <v>30</v>
      </c>
      <c r="Y37" s="38">
        <f>VLOOKUP(A37,Step_II_Load_CostRecovery_Sum!$A$5:$T$117,14,FALSE)</f>
        <v>0.86</v>
      </c>
      <c r="Z37" s="167">
        <f>VLOOKUP($A37,Step_II_Load_CostRecovery_Sum!$A$5:$T$117,15,FALSE)</f>
        <v>0.67</v>
      </c>
      <c r="AA37" s="38">
        <f t="shared" si="42"/>
        <v>1</v>
      </c>
      <c r="AB37" s="167">
        <f t="shared" si="43"/>
        <v>0</v>
      </c>
      <c r="AC37" s="288">
        <f>VLOOKUP($A37,Step_II_Load_CostRecovery_Sum!$A$5:$AE$117,29,FALSE)</f>
        <v>0.19375156838143037</v>
      </c>
      <c r="AD37" s="289">
        <f>VLOOKUP($A37,Step_II_Load_CostRecovery_Sum!$A$5:$AE$117,30,FALSE)</f>
        <v>0.32046737766624844</v>
      </c>
      <c r="AE37" s="290">
        <f>VLOOKUP($A37,Step_II_Load_CostRecovery_Sum!$A$5:$AE$117,31,FALSE)</f>
        <v>0.17913895859473022</v>
      </c>
      <c r="AF37" s="38">
        <f t="shared" si="44"/>
        <v>0</v>
      </c>
      <c r="AG37" s="25">
        <f t="shared" si="45"/>
        <v>0</v>
      </c>
      <c r="AH37" s="167">
        <f t="shared" si="46"/>
        <v>0</v>
      </c>
      <c r="AI37" s="38">
        <f t="shared" si="47"/>
        <v>60</v>
      </c>
      <c r="AJ37" s="170">
        <f t="shared" si="48"/>
        <v>30</v>
      </c>
      <c r="AK37" s="25">
        <f t="shared" si="49"/>
        <v>30</v>
      </c>
      <c r="AL37" s="167">
        <f t="shared" si="50"/>
        <v>30</v>
      </c>
      <c r="AN37" s="220">
        <f t="shared" si="51"/>
        <v>1</v>
      </c>
      <c r="AO37" s="26">
        <f t="shared" si="52"/>
        <v>0</v>
      </c>
      <c r="AP37" s="209">
        <f t="shared" si="53"/>
        <v>0</v>
      </c>
      <c r="AQ37" s="38" t="str">
        <f t="shared" si="54"/>
        <v>Better than 15 min</v>
      </c>
      <c r="AR37" s="25">
        <f t="shared" si="55"/>
        <v>30</v>
      </c>
      <c r="AS37" s="170">
        <f t="shared" si="56"/>
        <v>30</v>
      </c>
      <c r="AT37" s="253" t="str">
        <f t="shared" si="57"/>
        <v>Frequent</v>
      </c>
      <c r="AU37" s="251">
        <v>3</v>
      </c>
      <c r="AV37" s="41">
        <v>3</v>
      </c>
      <c r="AW37" s="207">
        <v>3</v>
      </c>
      <c r="AX37" s="175">
        <f>IF(AQ37="Better than 15 min",1,IF(AQ37=15,2,IF(AQ37=30,3,IF(AQ37=60,5,6))))</f>
        <v>1</v>
      </c>
      <c r="AY37" s="41">
        <f>IF(AR37="Better than 15 min",1,IF(AR37=15,2,IF(AR37=30,3,IF(AR37=60,5,6))))</f>
        <v>3</v>
      </c>
      <c r="AZ37" s="207">
        <f aca="true" t="shared" si="61" ref="AZ37:AZ68">IF(AS37="Better than 15 min",1,IF(AS37=15,2,IF(AS37=30,3,IF(AS37=60,5,6))))</f>
        <v>3</v>
      </c>
      <c r="BA37" s="38">
        <f t="shared" si="58"/>
        <v>-2</v>
      </c>
      <c r="BB37" s="25">
        <f t="shared" si="59"/>
        <v>0</v>
      </c>
      <c r="BC37" s="167">
        <f t="shared" si="60"/>
        <v>0</v>
      </c>
    </row>
    <row r="38" spans="1:55" ht="12.75">
      <c r="A38" t="s">
        <v>134</v>
      </c>
      <c r="B38" s="79">
        <v>35</v>
      </c>
      <c r="C38" s="5" t="s">
        <v>135</v>
      </c>
      <c r="D38" s="6" t="s">
        <v>21</v>
      </c>
      <c r="E38" s="6" t="s">
        <v>136</v>
      </c>
      <c r="F38" s="8" t="s">
        <v>137</v>
      </c>
      <c r="G38" s="67">
        <f>VLOOKUP($A38,HH_Jobs_CorridorLength!$A$2:$F$116,5,FALSE)</f>
        <v>1615.9039393525493</v>
      </c>
      <c r="H38" s="62">
        <f t="shared" si="33"/>
        <v>4</v>
      </c>
      <c r="I38" s="67">
        <f>VLOOKUP($A38,HH_Jobs_CorridorLength!$A$2:$F$116,6,FALSE)</f>
        <v>5086.305799182957</v>
      </c>
      <c r="J38" s="62">
        <f t="shared" si="34"/>
        <v>0</v>
      </c>
      <c r="K38" s="319">
        <f>VLOOKUP(A38,Low_Income_Minority!$A$3:$J$115,8,FALSE)</f>
        <v>0.9025222581464473</v>
      </c>
      <c r="L38" s="60">
        <f>IF(Minority&gt;=Minority_Thrshld,Min_Pts,0)</f>
        <v>5</v>
      </c>
      <c r="M38" s="321">
        <f>VLOOKUP(A38,Low_Income_Minority!$A$3:$J$115,10,FALSE)</f>
        <v>0.6691555678744747</v>
      </c>
      <c r="N38" s="61">
        <f t="shared" si="35"/>
        <v>5</v>
      </c>
      <c r="O38" s="57" t="str">
        <f>VLOOKUP(A38,Primary_Connections_To_Centers!$A$3:$K$116,9,FALSE)</f>
        <v>Yes</v>
      </c>
      <c r="P38" s="60">
        <f t="shared" si="36"/>
        <v>5</v>
      </c>
      <c r="Q38" s="38" t="str">
        <f>VLOOKUP(A38,Primary_Connections_To_Centers!$A$3:$K$116,10,FALSE)</f>
        <v>No</v>
      </c>
      <c r="R38" s="60">
        <f t="shared" si="37"/>
        <v>0</v>
      </c>
      <c r="S38" s="65">
        <f t="shared" si="38"/>
        <v>19</v>
      </c>
      <c r="T38" s="65"/>
      <c r="U38" s="73"/>
      <c r="V38" s="64">
        <f t="shared" si="39"/>
        <v>15</v>
      </c>
      <c r="W38" s="64">
        <f t="shared" si="40"/>
        <v>30</v>
      </c>
      <c r="X38" s="64">
        <f t="shared" si="41"/>
        <v>30</v>
      </c>
      <c r="Y38" s="38">
        <f>VLOOKUP(A38,Step_II_Load_CostRecovery_Sum!$A$5:$T$117,14,FALSE)</f>
        <v>1.96</v>
      </c>
      <c r="Z38" s="167">
        <f>VLOOKUP($A38,Step_II_Load_CostRecovery_Sum!$A$5:$T$117,15,FALSE)</f>
        <v>0.98</v>
      </c>
      <c r="AA38" s="38">
        <f t="shared" si="42"/>
        <v>2</v>
      </c>
      <c r="AB38" s="167">
        <f t="shared" si="43"/>
        <v>1</v>
      </c>
      <c r="AC38" s="288">
        <f>VLOOKUP($A38,Step_II_Load_CostRecovery_Sum!$A$5:$AE$117,29,FALSE)</f>
        <v>1.2430489335006276</v>
      </c>
      <c r="AD38" s="289">
        <f>VLOOKUP($A38,Step_II_Load_CostRecovery_Sum!$A$5:$AE$117,30,FALSE)</f>
        <v>0.7220890840652446</v>
      </c>
      <c r="AE38" s="290">
        <f>VLOOKUP($A38,Step_II_Load_CostRecovery_Sum!$A$5:$AE$117,31,FALSE)</f>
        <v>0.402620765370138</v>
      </c>
      <c r="AF38" s="38">
        <f t="shared" si="44"/>
        <v>2</v>
      </c>
      <c r="AG38" s="25">
        <f t="shared" si="45"/>
        <v>1</v>
      </c>
      <c r="AH38" s="167">
        <f t="shared" si="46"/>
        <v>1</v>
      </c>
      <c r="AI38" s="38">
        <f t="shared" si="47"/>
        <v>0</v>
      </c>
      <c r="AJ38" s="170">
        <f t="shared" si="48"/>
        <v>30</v>
      </c>
      <c r="AK38" s="25">
        <f t="shared" si="49"/>
        <v>30</v>
      </c>
      <c r="AL38" s="167">
        <f t="shared" si="50"/>
        <v>30</v>
      </c>
      <c r="AN38" s="220">
        <f t="shared" si="51"/>
        <v>2</v>
      </c>
      <c r="AO38" s="26">
        <f t="shared" si="52"/>
        <v>1</v>
      </c>
      <c r="AP38" s="209">
        <f t="shared" si="53"/>
        <v>1</v>
      </c>
      <c r="AQ38" s="38" t="str">
        <f t="shared" si="54"/>
        <v>Better than 15 min</v>
      </c>
      <c r="AR38" s="25">
        <f t="shared" si="55"/>
        <v>15</v>
      </c>
      <c r="AS38" s="170">
        <f t="shared" si="56"/>
        <v>15</v>
      </c>
      <c r="AT38" s="253" t="str">
        <f t="shared" si="57"/>
        <v>Very Frequent</v>
      </c>
      <c r="AU38" s="251">
        <v>1</v>
      </c>
      <c r="AV38" s="41">
        <v>2</v>
      </c>
      <c r="AW38" s="207">
        <v>2</v>
      </c>
      <c r="AX38" s="175">
        <f aca="true" t="shared" si="62" ref="AX38:AY44">IF(AQ38="Better than 15 min",1,IF(AQ38=15,2,IF(AQ38=30,3,IF(AQ38=60,5,0))))</f>
        <v>1</v>
      </c>
      <c r="AY38" s="41">
        <f t="shared" si="62"/>
        <v>2</v>
      </c>
      <c r="AZ38" s="207">
        <f t="shared" si="61"/>
        <v>2</v>
      </c>
      <c r="BA38" s="38">
        <f t="shared" si="58"/>
        <v>0</v>
      </c>
      <c r="BB38" s="25">
        <f t="shared" si="59"/>
        <v>0</v>
      </c>
      <c r="BC38" s="167">
        <f t="shared" si="60"/>
        <v>0</v>
      </c>
    </row>
    <row r="39" spans="1:55" ht="12.75">
      <c r="A39" t="s">
        <v>131</v>
      </c>
      <c r="B39" s="79">
        <v>36</v>
      </c>
      <c r="C39" s="5" t="s">
        <v>98</v>
      </c>
      <c r="D39" s="6" t="s">
        <v>132</v>
      </c>
      <c r="E39" s="6" t="s">
        <v>133</v>
      </c>
      <c r="F39" s="7">
        <v>105</v>
      </c>
      <c r="G39" s="67">
        <f>VLOOKUP($A39,HH_Jobs_CorridorLength!$A$2:$F$116,5,FALSE)</f>
        <v>1146.4737793851718</v>
      </c>
      <c r="H39" s="62">
        <f t="shared" si="33"/>
        <v>4</v>
      </c>
      <c r="I39" s="67">
        <f>VLOOKUP($A39,HH_Jobs_CorridorLength!$A$2:$F$116,6,FALSE)</f>
        <v>580.6509945750452</v>
      </c>
      <c r="J39" s="62">
        <f t="shared" si="34"/>
        <v>0</v>
      </c>
      <c r="K39" s="319">
        <f>VLOOKUP(A39,Low_Income_Minority!$A$3:$J$115,8,FALSE)</f>
        <v>0.8641350208139803</v>
      </c>
      <c r="L39" s="60">
        <f>IF(Minority&gt;=Minority_Thrshld,Min_Pts,0)</f>
        <v>5</v>
      </c>
      <c r="M39" s="321">
        <f>VLOOKUP(A39,Low_Income_Minority!$A$3:$J$115,10,FALSE)</f>
        <v>1</v>
      </c>
      <c r="N39" s="61">
        <f t="shared" si="35"/>
        <v>5</v>
      </c>
      <c r="O39" s="57" t="str">
        <f>VLOOKUP(A39,Primary_Connections_To_Centers!$A$3:$K$116,9,FALSE)</f>
        <v>Yes</v>
      </c>
      <c r="P39" s="60">
        <f t="shared" si="36"/>
        <v>5</v>
      </c>
      <c r="Q39" s="38" t="str">
        <f>VLOOKUP(A39,Primary_Connections_To_Centers!$A$3:$K$116,10,FALSE)</f>
        <v>No</v>
      </c>
      <c r="R39" s="60">
        <f t="shared" si="37"/>
        <v>0</v>
      </c>
      <c r="S39" s="65">
        <f t="shared" si="38"/>
        <v>19</v>
      </c>
      <c r="T39" s="65"/>
      <c r="U39" s="73"/>
      <c r="V39" s="64">
        <f t="shared" si="39"/>
        <v>15</v>
      </c>
      <c r="W39" s="64">
        <f t="shared" si="40"/>
        <v>30</v>
      </c>
      <c r="X39" s="64">
        <f t="shared" si="41"/>
        <v>30</v>
      </c>
      <c r="Y39" s="38">
        <f>VLOOKUP(A39,Step_II_Load_CostRecovery_Sum!$A$5:$T$117,14,FALSE)</f>
        <v>0.56</v>
      </c>
      <c r="Z39" s="167">
        <f>VLOOKUP($A39,Step_II_Load_CostRecovery_Sum!$A$5:$T$117,15,FALSE)</f>
        <v>0.44</v>
      </c>
      <c r="AA39" s="38">
        <f t="shared" si="42"/>
        <v>0</v>
      </c>
      <c r="AB39" s="167">
        <f t="shared" si="43"/>
        <v>0</v>
      </c>
      <c r="AC39" s="288">
        <f>VLOOKUP($A39,Step_II_Load_CostRecovery_Sum!$A$5:$AE$117,29,FALSE)</f>
        <v>0.2060476787954831</v>
      </c>
      <c r="AD39" s="289">
        <f>VLOOKUP($A39,Step_II_Load_CostRecovery_Sum!$A$5:$AE$117,30,FALSE)</f>
        <v>0.31485727728983687</v>
      </c>
      <c r="AE39" s="290">
        <f>VLOOKUP($A39,Step_II_Load_CostRecovery_Sum!$A$5:$AE$117,31,FALSE)</f>
        <v>0.14816813048933503</v>
      </c>
      <c r="AF39" s="38">
        <f t="shared" si="44"/>
        <v>0</v>
      </c>
      <c r="AG39" s="25">
        <f t="shared" si="45"/>
        <v>0</v>
      </c>
      <c r="AH39" s="167">
        <f t="shared" si="46"/>
        <v>0</v>
      </c>
      <c r="AI39" s="38">
        <f t="shared" si="47"/>
        <v>0</v>
      </c>
      <c r="AJ39" s="170">
        <f t="shared" si="48"/>
        <v>60</v>
      </c>
      <c r="AK39" s="25">
        <f t="shared" si="49"/>
        <v>30</v>
      </c>
      <c r="AL39" s="167">
        <f t="shared" si="50"/>
        <v>30</v>
      </c>
      <c r="AN39" s="220">
        <f t="shared" si="51"/>
        <v>0</v>
      </c>
      <c r="AO39" s="26">
        <f t="shared" si="52"/>
        <v>0</v>
      </c>
      <c r="AP39" s="209">
        <f t="shared" si="53"/>
        <v>0</v>
      </c>
      <c r="AQ39" s="38">
        <f t="shared" si="54"/>
        <v>15</v>
      </c>
      <c r="AR39" s="25">
        <f t="shared" si="55"/>
        <v>30</v>
      </c>
      <c r="AS39" s="170">
        <f t="shared" si="56"/>
        <v>30</v>
      </c>
      <c r="AT39" s="253" t="str">
        <f t="shared" si="57"/>
        <v>Frequent</v>
      </c>
      <c r="AU39" s="251">
        <v>3</v>
      </c>
      <c r="AV39" s="41">
        <v>3</v>
      </c>
      <c r="AW39" s="207">
        <v>3</v>
      </c>
      <c r="AX39" s="175">
        <f t="shared" si="62"/>
        <v>2</v>
      </c>
      <c r="AY39" s="41">
        <f t="shared" si="62"/>
        <v>3</v>
      </c>
      <c r="AZ39" s="207">
        <f t="shared" si="61"/>
        <v>3</v>
      </c>
      <c r="BA39" s="38">
        <f t="shared" si="58"/>
        <v>-1</v>
      </c>
      <c r="BB39" s="25">
        <f t="shared" si="59"/>
        <v>0</v>
      </c>
      <c r="BC39" s="167">
        <f t="shared" si="60"/>
        <v>0</v>
      </c>
    </row>
    <row r="40" spans="1:55" ht="12.75">
      <c r="A40" t="s">
        <v>176</v>
      </c>
      <c r="B40" s="79">
        <v>37</v>
      </c>
      <c r="C40" s="5" t="s">
        <v>98</v>
      </c>
      <c r="D40" s="6" t="s">
        <v>4</v>
      </c>
      <c r="E40" s="6" t="s">
        <v>177</v>
      </c>
      <c r="F40" s="7">
        <v>106</v>
      </c>
      <c r="G40" s="67">
        <f>VLOOKUP($A40,HH_Jobs_CorridorLength!$A$2:$F$116,5,FALSE)</f>
        <v>857.4362165525824</v>
      </c>
      <c r="H40" s="62">
        <f t="shared" si="33"/>
        <v>0</v>
      </c>
      <c r="I40" s="67">
        <f>VLOOKUP($A40,HH_Jobs_CorridorLength!$A$2:$F$116,6,FALSE)</f>
        <v>7151.64903546982</v>
      </c>
      <c r="J40" s="62">
        <f t="shared" si="34"/>
        <v>4</v>
      </c>
      <c r="K40" s="319">
        <f>VLOOKUP(A40,Low_Income_Minority!$A$3:$J$115,8,FALSE)</f>
        <v>0.9723656388976943</v>
      </c>
      <c r="L40" s="60">
        <f>IF(Minority&gt;=Minority_Thrshld,Min_Pts,0)</f>
        <v>5</v>
      </c>
      <c r="M40" s="321">
        <f>VLOOKUP(A40,Low_Income_Minority!$A$3:$J$115,10,FALSE)</f>
        <v>0.8397993813014318</v>
      </c>
      <c r="N40" s="61">
        <f t="shared" si="35"/>
        <v>5</v>
      </c>
      <c r="O40" s="57" t="str">
        <f>VLOOKUP(A40,Primary_Connections_To_Centers!$A$3:$K$116,9,FALSE)</f>
        <v>Yes</v>
      </c>
      <c r="P40" s="60">
        <f t="shared" si="36"/>
        <v>5</v>
      </c>
      <c r="Q40" s="38" t="str">
        <f>VLOOKUP(A40,Primary_Connections_To_Centers!$A$3:$K$116,10,FALSE)</f>
        <v>No</v>
      </c>
      <c r="R40" s="60">
        <f t="shared" si="37"/>
        <v>0</v>
      </c>
      <c r="S40" s="65">
        <f t="shared" si="38"/>
        <v>19</v>
      </c>
      <c r="T40" s="65"/>
      <c r="U40" s="73"/>
      <c r="V40" s="64">
        <f t="shared" si="39"/>
        <v>15</v>
      </c>
      <c r="W40" s="64">
        <f t="shared" si="40"/>
        <v>30</v>
      </c>
      <c r="X40" s="64">
        <f t="shared" si="41"/>
        <v>30</v>
      </c>
      <c r="Y40" s="38">
        <f>VLOOKUP(A40,Step_II_Load_CostRecovery_Sum!$A$5:$T$117,14,FALSE)</f>
        <v>1.16</v>
      </c>
      <c r="Z40" s="167">
        <f>VLOOKUP($A40,Step_II_Load_CostRecovery_Sum!$A$5:$T$117,15,FALSE)</f>
        <v>0.48</v>
      </c>
      <c r="AA40" s="38">
        <f t="shared" si="42"/>
        <v>1</v>
      </c>
      <c r="AB40" s="167">
        <f t="shared" si="43"/>
        <v>0</v>
      </c>
      <c r="AC40" s="288">
        <f>VLOOKUP($A40,Step_II_Load_CostRecovery_Sum!$A$5:$AE$117,29,FALSE)</f>
        <v>0.6114648682559599</v>
      </c>
      <c r="AD40" s="289">
        <f>VLOOKUP($A40,Step_II_Load_CostRecovery_Sum!$A$5:$AE$117,30,FALSE)</f>
        <v>0.25399153074027603</v>
      </c>
      <c r="AE40" s="290">
        <f>VLOOKUP($A40,Step_II_Load_CostRecovery_Sum!$A$5:$AE$117,31,FALSE)</f>
        <v>0.14862923462986197</v>
      </c>
      <c r="AF40" s="38">
        <f t="shared" si="44"/>
        <v>1</v>
      </c>
      <c r="AG40" s="25">
        <f t="shared" si="45"/>
        <v>0</v>
      </c>
      <c r="AH40" s="167">
        <f t="shared" si="46"/>
        <v>0</v>
      </c>
      <c r="AI40" s="38">
        <f t="shared" si="47"/>
        <v>0</v>
      </c>
      <c r="AJ40" s="170">
        <f t="shared" si="48"/>
        <v>60</v>
      </c>
      <c r="AK40" s="25">
        <f t="shared" si="49"/>
        <v>30</v>
      </c>
      <c r="AL40" s="167">
        <f t="shared" si="50"/>
        <v>30</v>
      </c>
      <c r="AN40" s="220">
        <f t="shared" si="51"/>
        <v>1</v>
      </c>
      <c r="AO40" s="26">
        <f t="shared" si="52"/>
        <v>0</v>
      </c>
      <c r="AP40" s="209">
        <f t="shared" si="53"/>
        <v>0</v>
      </c>
      <c r="AQ40" s="38" t="str">
        <f t="shared" si="54"/>
        <v>Better than 15 min</v>
      </c>
      <c r="AR40" s="25">
        <f t="shared" si="55"/>
        <v>30</v>
      </c>
      <c r="AS40" s="170">
        <f t="shared" si="56"/>
        <v>30</v>
      </c>
      <c r="AT40" s="253" t="str">
        <f t="shared" si="57"/>
        <v>Frequent</v>
      </c>
      <c r="AU40" s="251">
        <v>2</v>
      </c>
      <c r="AV40" s="41">
        <v>3</v>
      </c>
      <c r="AW40" s="207">
        <v>3</v>
      </c>
      <c r="AX40" s="175">
        <f t="shared" si="62"/>
        <v>1</v>
      </c>
      <c r="AY40" s="41">
        <f t="shared" si="62"/>
        <v>3</v>
      </c>
      <c r="AZ40" s="207">
        <f t="shared" si="61"/>
        <v>3</v>
      </c>
      <c r="BA40" s="38">
        <f t="shared" si="58"/>
        <v>-1</v>
      </c>
      <c r="BB40" s="25">
        <f t="shared" si="59"/>
        <v>0</v>
      </c>
      <c r="BC40" s="167">
        <f t="shared" si="60"/>
        <v>0</v>
      </c>
    </row>
    <row r="41" spans="1:55" ht="12.75">
      <c r="A41" t="s">
        <v>82</v>
      </c>
      <c r="B41" s="79">
        <v>38</v>
      </c>
      <c r="C41" s="5" t="s">
        <v>83</v>
      </c>
      <c r="D41" s="6" t="s">
        <v>4</v>
      </c>
      <c r="E41" s="6" t="s">
        <v>84</v>
      </c>
      <c r="F41" s="10">
        <v>5</v>
      </c>
      <c r="G41" s="67">
        <f>VLOOKUP($A41,HH_Jobs_CorridorLength!$A$2:$F$116,5,FALSE)</f>
        <v>3090.1981362875777</v>
      </c>
      <c r="H41" s="62">
        <f t="shared" si="33"/>
        <v>7</v>
      </c>
      <c r="I41" s="67">
        <f>VLOOKUP($A41,HH_Jobs_CorridorLength!$A$2:$F$116,6,FALSE)</f>
        <v>12685.96779453347</v>
      </c>
      <c r="J41" s="62">
        <f t="shared" si="34"/>
        <v>7</v>
      </c>
      <c r="K41" s="319">
        <f>VLOOKUP(A41,Low_Income_Minority!$A$3:$J$115,8,FALSE)</f>
        <v>0.06581270573609362</v>
      </c>
      <c r="L41" s="60">
        <f>IF(Minority&gt;=Minority_Thrshld,Min_Pts,0)</f>
        <v>0</v>
      </c>
      <c r="M41" s="321">
        <f>VLOOKUP(A41,Low_Income_Minority!$A$3:$J$115,10,FALSE)</f>
        <v>0.2682707287773536</v>
      </c>
      <c r="N41" s="61">
        <f t="shared" si="35"/>
        <v>0</v>
      </c>
      <c r="O41" s="57" t="str">
        <f>VLOOKUP(A41,Primary_Connections_To_Centers!$A$3:$K$116,9,FALSE)</f>
        <v>Yes</v>
      </c>
      <c r="P41" s="60">
        <f t="shared" si="36"/>
        <v>5</v>
      </c>
      <c r="Q41" s="38" t="str">
        <f>VLOOKUP(A41,Primary_Connections_To_Centers!$A$3:$K$116,10,FALSE)</f>
        <v>No</v>
      </c>
      <c r="R41" s="60">
        <f t="shared" si="37"/>
        <v>0</v>
      </c>
      <c r="S41" s="65">
        <f t="shared" si="38"/>
        <v>19</v>
      </c>
      <c r="T41" s="65"/>
      <c r="U41" s="73"/>
      <c r="V41" s="64">
        <f t="shared" si="39"/>
        <v>15</v>
      </c>
      <c r="W41" s="64">
        <f t="shared" si="40"/>
        <v>30</v>
      </c>
      <c r="X41" s="64">
        <f t="shared" si="41"/>
        <v>30</v>
      </c>
      <c r="Y41" s="38">
        <f>VLOOKUP(A41,Step_II_Load_CostRecovery_Sum!$A$5:$T$117,14,FALSE)</f>
        <v>0.89</v>
      </c>
      <c r="Z41" s="167">
        <f>VLOOKUP($A41,Step_II_Load_CostRecovery_Sum!$A$5:$T$117,15,FALSE)</f>
        <v>1.03</v>
      </c>
      <c r="AA41" s="38">
        <f t="shared" si="42"/>
        <v>1</v>
      </c>
      <c r="AB41" s="167">
        <f t="shared" si="43"/>
        <v>1</v>
      </c>
      <c r="AC41" s="288">
        <f>VLOOKUP($A41,Step_II_Load_CostRecovery_Sum!$A$5:$AE$117,29,FALSE)</f>
        <v>0.39350690087829365</v>
      </c>
      <c r="AD41" s="289">
        <f>VLOOKUP($A41,Step_II_Load_CostRecovery_Sum!$A$5:$AE$117,30,FALSE)</f>
        <v>0.6709833751568381</v>
      </c>
      <c r="AE41" s="290">
        <f>VLOOKUP($A41,Step_II_Load_CostRecovery_Sum!$A$5:$AE$117,31,FALSE)</f>
        <v>0.20503764115432874</v>
      </c>
      <c r="AF41" s="38">
        <f t="shared" si="44"/>
        <v>0</v>
      </c>
      <c r="AG41" s="25">
        <f t="shared" si="45"/>
        <v>1</v>
      </c>
      <c r="AH41" s="167">
        <f t="shared" si="46"/>
        <v>0</v>
      </c>
      <c r="AI41" s="38">
        <f t="shared" si="47"/>
        <v>0</v>
      </c>
      <c r="AJ41" s="170">
        <f t="shared" si="48"/>
        <v>30</v>
      </c>
      <c r="AK41" s="25">
        <f t="shared" si="49"/>
        <v>30</v>
      </c>
      <c r="AL41" s="167">
        <f t="shared" si="50"/>
        <v>30</v>
      </c>
      <c r="AN41" s="220">
        <f t="shared" si="51"/>
        <v>1</v>
      </c>
      <c r="AO41" s="26">
        <f t="shared" si="52"/>
        <v>1</v>
      </c>
      <c r="AP41" s="209">
        <f t="shared" si="53"/>
        <v>0</v>
      </c>
      <c r="AQ41" s="38" t="str">
        <f t="shared" si="54"/>
        <v>Better than 15 min</v>
      </c>
      <c r="AR41" s="25">
        <f t="shared" si="55"/>
        <v>15</v>
      </c>
      <c r="AS41" s="170">
        <f t="shared" si="56"/>
        <v>30</v>
      </c>
      <c r="AT41" s="253" t="str">
        <f t="shared" si="57"/>
        <v>Very Frequent</v>
      </c>
      <c r="AU41" s="251">
        <v>1</v>
      </c>
      <c r="AV41" s="41">
        <v>2</v>
      </c>
      <c r="AW41" s="207">
        <v>3</v>
      </c>
      <c r="AX41" s="175">
        <f t="shared" si="62"/>
        <v>1</v>
      </c>
      <c r="AY41" s="41">
        <f t="shared" si="62"/>
        <v>2</v>
      </c>
      <c r="AZ41" s="207">
        <f t="shared" si="61"/>
        <v>3</v>
      </c>
      <c r="BA41" s="38">
        <f t="shared" si="58"/>
        <v>0</v>
      </c>
      <c r="BB41" s="25">
        <f t="shared" si="59"/>
        <v>0</v>
      </c>
      <c r="BC41" s="167">
        <f t="shared" si="60"/>
        <v>0</v>
      </c>
    </row>
    <row r="42" spans="1:55" ht="12.75">
      <c r="A42" t="s">
        <v>128</v>
      </c>
      <c r="B42" s="79">
        <v>39</v>
      </c>
      <c r="C42" s="5" t="s">
        <v>129</v>
      </c>
      <c r="D42" s="6" t="s">
        <v>86</v>
      </c>
      <c r="E42" s="6" t="s">
        <v>130</v>
      </c>
      <c r="F42" s="7">
        <v>345</v>
      </c>
      <c r="G42" s="67">
        <f>VLOOKUP($A42,HH_Jobs_CorridorLength!$A$2:$F$116,5,FALSE)</f>
        <v>1170.9585121602288</v>
      </c>
      <c r="H42" s="62">
        <f t="shared" si="33"/>
        <v>4</v>
      </c>
      <c r="I42" s="67">
        <f>VLOOKUP($A42,HH_Jobs_CorridorLength!$A$2:$F$116,6,FALSE)</f>
        <v>1235.4792560801145</v>
      </c>
      <c r="J42" s="62">
        <f t="shared" si="34"/>
        <v>0</v>
      </c>
      <c r="K42" s="319">
        <f>VLOOKUP(A42,Low_Income_Minority!$A$3:$J$115,8,FALSE)</f>
        <v>0.5799316948781064</v>
      </c>
      <c r="L42" s="60">
        <f>IF(Minority&gt;=Minority_Thrshld,Min_Pts,0)</f>
        <v>5</v>
      </c>
      <c r="M42" s="321">
        <f>VLOOKUP(A42,Low_Income_Minority!$A$3:$J$115,10,FALSE)</f>
        <v>0.6669377115753362</v>
      </c>
      <c r="N42" s="61">
        <f t="shared" si="35"/>
        <v>5</v>
      </c>
      <c r="O42" s="57" t="str">
        <f>VLOOKUP(A42,Primary_Connections_To_Centers!$A$3:$K$116,9,FALSE)</f>
        <v>Yes</v>
      </c>
      <c r="P42" s="60">
        <f t="shared" si="36"/>
        <v>5</v>
      </c>
      <c r="Q42" s="38" t="str">
        <f>VLOOKUP(A42,Primary_Connections_To_Centers!$A$3:$K$116,10,FALSE)</f>
        <v>No</v>
      </c>
      <c r="R42" s="60">
        <f t="shared" si="37"/>
        <v>0</v>
      </c>
      <c r="S42" s="65">
        <f t="shared" si="38"/>
        <v>19</v>
      </c>
      <c r="T42" s="65"/>
      <c r="U42" s="73"/>
      <c r="V42" s="64">
        <f t="shared" si="39"/>
        <v>15</v>
      </c>
      <c r="W42" s="64">
        <f t="shared" si="40"/>
        <v>30</v>
      </c>
      <c r="X42" s="64">
        <f t="shared" si="41"/>
        <v>30</v>
      </c>
      <c r="Y42" s="38">
        <f>VLOOKUP(A42,Step_II_Load_CostRecovery_Sum!$A$5:$T$117,14,FALSE)</f>
        <v>0.64</v>
      </c>
      <c r="Z42" s="167">
        <f>VLOOKUP($A42,Step_II_Load_CostRecovery_Sum!$A$5:$T$117,15,FALSE)</f>
        <v>0.74</v>
      </c>
      <c r="AA42" s="38">
        <f t="shared" si="42"/>
        <v>0</v>
      </c>
      <c r="AB42" s="167">
        <f t="shared" si="43"/>
        <v>0</v>
      </c>
      <c r="AC42" s="288">
        <f>VLOOKUP($A42,Step_II_Load_CostRecovery_Sum!$A$5:$AE$117,29,FALSE)</f>
        <v>0.20174874529485573</v>
      </c>
      <c r="AD42" s="289">
        <f>VLOOKUP($A42,Step_II_Load_CostRecovery_Sum!$A$5:$AE$117,30,FALSE)</f>
        <v>0.31754705144291095</v>
      </c>
      <c r="AE42" s="290">
        <f>VLOOKUP($A42,Step_II_Load_CostRecovery_Sum!$A$5:$AE$117,31,FALSE)</f>
        <v>0.06271016311166876</v>
      </c>
      <c r="AF42" s="38">
        <f t="shared" si="44"/>
        <v>0</v>
      </c>
      <c r="AG42" s="25">
        <f t="shared" si="45"/>
        <v>0</v>
      </c>
      <c r="AH42" s="167">
        <f t="shared" si="46"/>
        <v>0</v>
      </c>
      <c r="AI42" s="38">
        <f t="shared" si="47"/>
        <v>0</v>
      </c>
      <c r="AJ42" s="170">
        <f t="shared" si="48"/>
        <v>0</v>
      </c>
      <c r="AK42" s="25">
        <f t="shared" si="49"/>
        <v>30</v>
      </c>
      <c r="AL42" s="167">
        <f t="shared" si="50"/>
        <v>30</v>
      </c>
      <c r="AN42" s="220">
        <f t="shared" si="51"/>
        <v>0</v>
      </c>
      <c r="AO42" s="26">
        <f t="shared" si="52"/>
        <v>0</v>
      </c>
      <c r="AP42" s="209">
        <f t="shared" si="53"/>
        <v>0</v>
      </c>
      <c r="AQ42" s="38">
        <f t="shared" si="54"/>
        <v>15</v>
      </c>
      <c r="AR42" s="25">
        <f t="shared" si="55"/>
        <v>30</v>
      </c>
      <c r="AS42" s="170">
        <f t="shared" si="56"/>
        <v>30</v>
      </c>
      <c r="AT42" s="253" t="str">
        <f t="shared" si="57"/>
        <v>Frequent</v>
      </c>
      <c r="AU42" s="251">
        <v>3</v>
      </c>
      <c r="AV42" s="41">
        <v>3</v>
      </c>
      <c r="AW42" s="207">
        <v>5</v>
      </c>
      <c r="AX42" s="175">
        <f t="shared" si="62"/>
        <v>2</v>
      </c>
      <c r="AY42" s="41">
        <f t="shared" si="62"/>
        <v>3</v>
      </c>
      <c r="AZ42" s="207">
        <f t="shared" si="61"/>
        <v>3</v>
      </c>
      <c r="BA42" s="38">
        <f t="shared" si="58"/>
        <v>-1</v>
      </c>
      <c r="BB42" s="25">
        <f t="shared" si="59"/>
        <v>0</v>
      </c>
      <c r="BC42" s="167">
        <f t="shared" si="60"/>
        <v>-2</v>
      </c>
    </row>
    <row r="43" spans="1:55" ht="12.75">
      <c r="A43" t="s">
        <v>125</v>
      </c>
      <c r="B43" s="79">
        <v>40</v>
      </c>
      <c r="C43" s="5" t="s">
        <v>45</v>
      </c>
      <c r="D43" s="6" t="s">
        <v>4</v>
      </c>
      <c r="E43" s="6" t="s">
        <v>126</v>
      </c>
      <c r="F43" s="7" t="s">
        <v>127</v>
      </c>
      <c r="G43" s="67">
        <f>VLOOKUP($A43,HH_Jobs_CorridorLength!$A$2:$F$116,5,FALSE)</f>
        <v>1028.7442396313365</v>
      </c>
      <c r="H43" s="62">
        <f t="shared" si="33"/>
        <v>0</v>
      </c>
      <c r="I43" s="67">
        <f>VLOOKUP($A43,HH_Jobs_CorridorLength!$A$2:$F$116,6,FALSE)</f>
        <v>6459.101382488479</v>
      </c>
      <c r="J43" s="62">
        <f t="shared" si="34"/>
        <v>4</v>
      </c>
      <c r="K43" s="319">
        <f>VLOOKUP(A43,Low_Income_Minority!$A$3:$J$115,8,FALSE)</f>
        <v>0.6893409056689425</v>
      </c>
      <c r="L43" s="60">
        <f>IF(Minority&gt;=Minority_Thrshld,Min_Pts,0)</f>
        <v>5</v>
      </c>
      <c r="M43" s="321">
        <f>VLOOKUP(A43,Low_Income_Minority!$A$3:$J$115,10,FALSE)</f>
        <v>0.8804649313213867</v>
      </c>
      <c r="N43" s="61">
        <f t="shared" si="35"/>
        <v>5</v>
      </c>
      <c r="O43" s="57" t="str">
        <f>VLOOKUP(A43,Primary_Connections_To_Centers!$A$3:$K$116,9,FALSE)</f>
        <v>Yes</v>
      </c>
      <c r="P43" s="60">
        <f t="shared" si="36"/>
        <v>5</v>
      </c>
      <c r="Q43" s="38" t="str">
        <f>VLOOKUP(A43,Primary_Connections_To_Centers!$A$3:$K$116,10,FALSE)</f>
        <v>No</v>
      </c>
      <c r="R43" s="60">
        <f t="shared" si="37"/>
        <v>0</v>
      </c>
      <c r="S43" s="65">
        <f t="shared" si="38"/>
        <v>19</v>
      </c>
      <c r="T43" s="65"/>
      <c r="U43" s="73"/>
      <c r="V43" s="64">
        <f t="shared" si="39"/>
        <v>15</v>
      </c>
      <c r="W43" s="64">
        <f t="shared" si="40"/>
        <v>30</v>
      </c>
      <c r="X43" s="64">
        <f t="shared" si="41"/>
        <v>30</v>
      </c>
      <c r="Y43" s="38">
        <f>VLOOKUP(A43,Step_II_Load_CostRecovery_Sum!$A$5:$T$117,14,FALSE)</f>
        <v>0.67</v>
      </c>
      <c r="Z43" s="167">
        <f>VLOOKUP($A43,Step_II_Load_CostRecovery_Sum!$A$5:$T$117,15,FALSE)</f>
        <v>0.57</v>
      </c>
      <c r="AA43" s="38">
        <f t="shared" si="42"/>
        <v>0</v>
      </c>
      <c r="AB43" s="167">
        <f t="shared" si="43"/>
        <v>0</v>
      </c>
      <c r="AC43" s="288">
        <f>VLOOKUP($A43,Step_II_Load_CostRecovery_Sum!$A$5:$AE$117,29,FALSE)</f>
        <v>0.09103670012547052</v>
      </c>
      <c r="AD43" s="289">
        <f>VLOOKUP($A43,Step_II_Load_CostRecovery_Sum!$A$5:$AE$117,30,FALSE)</f>
        <v>0.11350846925972397</v>
      </c>
      <c r="AE43" s="290">
        <f>VLOOKUP($A43,Step_II_Load_CostRecovery_Sum!$A$5:$AE$117,31,FALSE)</f>
        <v>0.05387233375156838</v>
      </c>
      <c r="AF43" s="38">
        <f t="shared" si="44"/>
        <v>0</v>
      </c>
      <c r="AG43" s="25">
        <f t="shared" si="45"/>
        <v>0</v>
      </c>
      <c r="AH43" s="167">
        <f t="shared" si="46"/>
        <v>0</v>
      </c>
      <c r="AI43" s="38">
        <f t="shared" si="47"/>
        <v>0</v>
      </c>
      <c r="AJ43" s="170">
        <f t="shared" si="48"/>
        <v>0</v>
      </c>
      <c r="AK43" s="25">
        <f t="shared" si="49"/>
        <v>30</v>
      </c>
      <c r="AL43" s="167">
        <f t="shared" si="50"/>
        <v>30</v>
      </c>
      <c r="AN43" s="220">
        <f t="shared" si="51"/>
        <v>0</v>
      </c>
      <c r="AO43" s="26">
        <f t="shared" si="52"/>
        <v>0</v>
      </c>
      <c r="AP43" s="209">
        <f t="shared" si="53"/>
        <v>0</v>
      </c>
      <c r="AQ43" s="38">
        <f t="shared" si="54"/>
        <v>15</v>
      </c>
      <c r="AR43" s="25">
        <f t="shared" si="55"/>
        <v>30</v>
      </c>
      <c r="AS43" s="170">
        <f t="shared" si="56"/>
        <v>30</v>
      </c>
      <c r="AT43" s="253" t="str">
        <f t="shared" si="57"/>
        <v>Frequent</v>
      </c>
      <c r="AU43" s="251">
        <v>4</v>
      </c>
      <c r="AV43" s="41">
        <v>4</v>
      </c>
      <c r="AW43" s="207">
        <v>5</v>
      </c>
      <c r="AX43" s="175">
        <f t="shared" si="62"/>
        <v>2</v>
      </c>
      <c r="AY43" s="41">
        <f t="shared" si="62"/>
        <v>3</v>
      </c>
      <c r="AZ43" s="207">
        <f t="shared" si="61"/>
        <v>3</v>
      </c>
      <c r="BA43" s="38">
        <f t="shared" si="58"/>
        <v>-2</v>
      </c>
      <c r="BB43" s="25">
        <f t="shared" si="59"/>
        <v>-1</v>
      </c>
      <c r="BC43" s="167">
        <f t="shared" si="60"/>
        <v>-2</v>
      </c>
    </row>
    <row r="44" spans="1:55" ht="12.75">
      <c r="A44" s="21" t="s">
        <v>118</v>
      </c>
      <c r="B44" s="79">
        <v>41</v>
      </c>
      <c r="C44" s="5" t="s">
        <v>119</v>
      </c>
      <c r="D44" s="6" t="s">
        <v>120</v>
      </c>
      <c r="E44" s="17" t="s">
        <v>121</v>
      </c>
      <c r="F44" s="8" t="s">
        <v>122</v>
      </c>
      <c r="G44" s="69">
        <f>VLOOKUP($A44,HH_Jobs_CorridorLength!$A$2:$F$116,5,FALSE)</f>
        <v>1176.5199798851318</v>
      </c>
      <c r="H44" s="10">
        <f t="shared" si="33"/>
        <v>4</v>
      </c>
      <c r="I44" s="69">
        <f>VLOOKUP($A44,HH_Jobs_CorridorLength!$A$2:$F$116,6,FALSE)</f>
        <v>3270.7019310354103</v>
      </c>
      <c r="J44" s="10">
        <f t="shared" si="34"/>
        <v>0</v>
      </c>
      <c r="K44" s="319">
        <f>VLOOKUP(A44,Low_Income_Minority!$A$3:$J$115,8,FALSE)</f>
        <v>0.7736242058458047</v>
      </c>
      <c r="L44" s="60">
        <f>IF(Minority&gt;=Minority_Thrshld,Min_Pts,0)</f>
        <v>5</v>
      </c>
      <c r="M44" s="319">
        <f>VLOOKUP(A44,Low_Income_Minority!$A$3:$J$115,10,FALSE)</f>
        <v>0.074545056312985</v>
      </c>
      <c r="N44" s="61">
        <f t="shared" si="35"/>
        <v>0</v>
      </c>
      <c r="O44" s="12" t="str">
        <f>VLOOKUP(A44,Primary_Connections_To_Centers!$A$3:$K$116,9,FALSE)</f>
        <v>Yes</v>
      </c>
      <c r="P44" s="60">
        <f t="shared" si="36"/>
        <v>5</v>
      </c>
      <c r="Q44" s="5" t="str">
        <f>VLOOKUP(A44,Primary_Connections_To_Centers!$A$3:$K$116,10,FALSE)</f>
        <v>Yes</v>
      </c>
      <c r="R44" s="60">
        <f t="shared" si="37"/>
        <v>5</v>
      </c>
      <c r="S44" s="174">
        <f t="shared" si="38"/>
        <v>19</v>
      </c>
      <c r="T44" s="174" t="s">
        <v>599</v>
      </c>
      <c r="U44" s="280"/>
      <c r="V44" s="7" t="str">
        <f t="shared" si="39"/>
        <v>Better than 15 min</v>
      </c>
      <c r="W44" s="7">
        <f t="shared" si="40"/>
        <v>15</v>
      </c>
      <c r="X44" s="7">
        <f t="shared" si="41"/>
        <v>15</v>
      </c>
      <c r="Y44" s="5">
        <f>VLOOKUP(A44,Step_II_Load_CostRecovery_Sum!$A$5:$T$117,14,FALSE)</f>
        <v>0.77</v>
      </c>
      <c r="Z44" s="282">
        <f>VLOOKUP($A44,Step_II_Load_CostRecovery_Sum!$A$5:$T$117,15,FALSE)</f>
        <v>0.5</v>
      </c>
      <c r="AA44" s="5">
        <f t="shared" si="42"/>
        <v>0</v>
      </c>
      <c r="AB44" s="282">
        <f t="shared" si="43"/>
        <v>0</v>
      </c>
      <c r="AC44" s="343">
        <f>VLOOKUP($A44,Step_II_Load_CostRecovery_Sum!$A$5:$AE$117,29,FALSE)</f>
        <v>0.15308657465495612</v>
      </c>
      <c r="AD44" s="344">
        <f>VLOOKUP($A44,Step_II_Load_CostRecovery_Sum!$A$5:$AE$117,30,FALSE)</f>
        <v>0.22632528230865745</v>
      </c>
      <c r="AE44" s="290">
        <f>VLOOKUP($A44,Step_II_Load_CostRecovery_Sum!$A$5:$AE$117,31,FALSE)</f>
        <v>0.20119510664993726</v>
      </c>
      <c r="AF44" s="5">
        <f t="shared" si="44"/>
        <v>0</v>
      </c>
      <c r="AG44" s="6">
        <f t="shared" si="45"/>
        <v>0</v>
      </c>
      <c r="AH44" s="282">
        <f t="shared" si="46"/>
        <v>0</v>
      </c>
      <c r="AI44" s="5">
        <f t="shared" si="47"/>
        <v>60</v>
      </c>
      <c r="AJ44" s="17">
        <f t="shared" si="48"/>
        <v>30</v>
      </c>
      <c r="AK44" s="6">
        <f t="shared" si="49"/>
        <v>30</v>
      </c>
      <c r="AL44" s="282">
        <f t="shared" si="50"/>
        <v>30</v>
      </c>
      <c r="AM44" s="21"/>
      <c r="AN44" s="283">
        <f t="shared" si="51"/>
        <v>0</v>
      </c>
      <c r="AO44" s="266">
        <f t="shared" si="52"/>
        <v>0</v>
      </c>
      <c r="AP44" s="209">
        <f t="shared" si="53"/>
        <v>0</v>
      </c>
      <c r="AQ44" s="5" t="str">
        <f t="shared" si="54"/>
        <v>Better than 15 min</v>
      </c>
      <c r="AR44" s="6">
        <f t="shared" si="55"/>
        <v>15</v>
      </c>
      <c r="AS44" s="17">
        <f t="shared" si="56"/>
        <v>15</v>
      </c>
      <c r="AT44" s="31" t="str">
        <f t="shared" si="57"/>
        <v>Very Frequent</v>
      </c>
      <c r="AU44" s="284">
        <v>3</v>
      </c>
      <c r="AV44" s="182">
        <v>3</v>
      </c>
      <c r="AW44" s="285">
        <v>4</v>
      </c>
      <c r="AX44" s="281">
        <f t="shared" si="62"/>
        <v>1</v>
      </c>
      <c r="AY44" s="182">
        <f t="shared" si="62"/>
        <v>2</v>
      </c>
      <c r="AZ44" s="285">
        <f t="shared" si="61"/>
        <v>2</v>
      </c>
      <c r="BA44" s="5">
        <f t="shared" si="58"/>
        <v>-2</v>
      </c>
      <c r="BB44" s="6">
        <f t="shared" si="59"/>
        <v>-1</v>
      </c>
      <c r="BC44" s="282">
        <f t="shared" si="60"/>
        <v>-2</v>
      </c>
    </row>
    <row r="45" spans="1:55" s="21" customFormat="1" ht="12.75">
      <c r="A45" t="s">
        <v>255</v>
      </c>
      <c r="B45" s="79">
        <v>42</v>
      </c>
      <c r="C45" s="5" t="s">
        <v>256</v>
      </c>
      <c r="D45" s="6" t="s">
        <v>4</v>
      </c>
      <c r="E45" s="17" t="s">
        <v>257</v>
      </c>
      <c r="F45" s="8" t="s">
        <v>258</v>
      </c>
      <c r="G45" s="67">
        <f>VLOOKUP($A45,HH_Jobs_CorridorLength!$A$2:$F$116,5,FALSE)</f>
        <v>1843.6773583037984</v>
      </c>
      <c r="H45" s="62">
        <f t="shared" si="33"/>
        <v>4</v>
      </c>
      <c r="I45" s="67">
        <f>VLOOKUP($A45,HH_Jobs_CorridorLength!$A$2:$F$116,6,FALSE)</f>
        <v>7690.374348107584</v>
      </c>
      <c r="J45" s="62">
        <f t="shared" si="34"/>
        <v>4</v>
      </c>
      <c r="K45" s="319">
        <f>VLOOKUP(A45,Low_Income_Minority!$A$3:$J$115,8,FALSE)</f>
        <v>0.1764438599681726</v>
      </c>
      <c r="L45" s="60">
        <f>IF(Minority&gt;=Minority_Thrshld,Min_Pts,0)</f>
        <v>0</v>
      </c>
      <c r="M45" s="321">
        <f>VLOOKUP(A45,Low_Income_Minority!$A$3:$J$115,10,FALSE)</f>
        <v>0.7168820686950054</v>
      </c>
      <c r="N45" s="61">
        <f t="shared" si="35"/>
        <v>5</v>
      </c>
      <c r="O45" s="57" t="str">
        <f>VLOOKUP(A45,Primary_Connections_To_Centers!$A$3:$K$116,9,FALSE)</f>
        <v>Yes</v>
      </c>
      <c r="P45" s="60">
        <f t="shared" si="36"/>
        <v>5</v>
      </c>
      <c r="Q45" s="38" t="str">
        <f>VLOOKUP(A45,Primary_Connections_To_Centers!$A$3:$K$116,10,FALSE)</f>
        <v>No</v>
      </c>
      <c r="R45" s="60">
        <f t="shared" si="37"/>
        <v>0</v>
      </c>
      <c r="S45" s="65">
        <f t="shared" si="38"/>
        <v>18</v>
      </c>
      <c r="T45" s="65" t="s">
        <v>599</v>
      </c>
      <c r="U45" s="73"/>
      <c r="V45" s="64" t="str">
        <f t="shared" si="39"/>
        <v>Better than 15 min</v>
      </c>
      <c r="W45" s="64">
        <f t="shared" si="40"/>
        <v>15</v>
      </c>
      <c r="X45" s="64">
        <f t="shared" si="41"/>
        <v>15</v>
      </c>
      <c r="Y45" s="38">
        <f>VLOOKUP(A45,Step_II_Load_CostRecovery_Sum!$A$5:$T$117,14,FALSE)</f>
        <v>1.08</v>
      </c>
      <c r="Z45" s="167">
        <f>VLOOKUP($A45,Step_II_Load_CostRecovery_Sum!$A$5:$T$117,15,FALSE)</f>
        <v>0.51</v>
      </c>
      <c r="AA45" s="38">
        <f t="shared" si="42"/>
        <v>1</v>
      </c>
      <c r="AB45" s="167">
        <f t="shared" si="43"/>
        <v>0</v>
      </c>
      <c r="AC45" s="288">
        <f>VLOOKUP($A45,Step_II_Load_CostRecovery_Sum!$A$5:$AE$117,29,FALSE)</f>
        <v>0.45873274780426604</v>
      </c>
      <c r="AD45" s="289">
        <f>VLOOKUP($A45,Step_II_Load_CostRecovery_Sum!$A$5:$AE$117,30,FALSE)</f>
        <v>0.2802744667503137</v>
      </c>
      <c r="AE45" s="290">
        <f>VLOOKUP($A45,Step_II_Load_CostRecovery_Sum!$A$5:$AE$117,31,FALSE)</f>
        <v>0.15877352572145548</v>
      </c>
      <c r="AF45" s="38">
        <f t="shared" si="44"/>
        <v>0</v>
      </c>
      <c r="AG45" s="25">
        <f t="shared" si="45"/>
        <v>0</v>
      </c>
      <c r="AH45" s="167">
        <f t="shared" si="46"/>
        <v>0</v>
      </c>
      <c r="AI45" s="38">
        <f t="shared" si="47"/>
        <v>0</v>
      </c>
      <c r="AJ45" s="170">
        <f t="shared" si="48"/>
        <v>60</v>
      </c>
      <c r="AK45" s="25">
        <f t="shared" si="49"/>
        <v>30</v>
      </c>
      <c r="AL45" s="167">
        <f t="shared" si="50"/>
        <v>30</v>
      </c>
      <c r="AM45"/>
      <c r="AN45" s="220">
        <f t="shared" si="51"/>
        <v>1</v>
      </c>
      <c r="AO45" s="26">
        <f t="shared" si="52"/>
        <v>0</v>
      </c>
      <c r="AP45" s="209">
        <f t="shared" si="53"/>
        <v>0</v>
      </c>
      <c r="AQ45" s="38" t="str">
        <f t="shared" si="54"/>
        <v>Better than 15 min</v>
      </c>
      <c r="AR45" s="25">
        <f t="shared" si="55"/>
        <v>15</v>
      </c>
      <c r="AS45" s="170">
        <f t="shared" si="56"/>
        <v>15</v>
      </c>
      <c r="AT45" s="253" t="str">
        <f t="shared" si="57"/>
        <v>Very Frequent</v>
      </c>
      <c r="AU45" s="251">
        <v>2</v>
      </c>
      <c r="AV45" s="41">
        <v>3</v>
      </c>
      <c r="AW45" s="207">
        <v>3</v>
      </c>
      <c r="AX45" s="175">
        <f>IF(AQ45="Better than 15 min",1,IF(AQ45=15,2,IF(AQ45=30,3,IF(AQ45=60,5,6))))</f>
        <v>1</v>
      </c>
      <c r="AY45" s="41">
        <f>IF(AR45="Better than 15 min",1,IF(AR45=15,2,IF(AR45=30,3,IF(AR45=60,5,6))))</f>
        <v>2</v>
      </c>
      <c r="AZ45" s="207">
        <f t="shared" si="61"/>
        <v>2</v>
      </c>
      <c r="BA45" s="38">
        <f t="shared" si="58"/>
        <v>-1</v>
      </c>
      <c r="BB45" s="25">
        <f t="shared" si="59"/>
        <v>-1</v>
      </c>
      <c r="BC45" s="167">
        <f t="shared" si="60"/>
        <v>-1</v>
      </c>
    </row>
    <row r="46" spans="1:55" ht="12.75">
      <c r="A46" t="s">
        <v>186</v>
      </c>
      <c r="B46" s="79">
        <v>43</v>
      </c>
      <c r="C46" s="5" t="s">
        <v>48</v>
      </c>
      <c r="D46" s="6" t="s">
        <v>4</v>
      </c>
      <c r="E46" s="17" t="s">
        <v>187</v>
      </c>
      <c r="F46" s="7">
        <v>23</v>
      </c>
      <c r="G46" s="67">
        <f>VLOOKUP($A46,HH_Jobs_CorridorLength!$A$2:$F$116,5,FALSE)</f>
        <v>1072.1003134796238</v>
      </c>
      <c r="H46" s="62">
        <f t="shared" si="33"/>
        <v>4</v>
      </c>
      <c r="I46" s="67">
        <f>VLOOKUP($A46,HH_Jobs_CorridorLength!$A$2:$F$116,6,FALSE)</f>
        <v>10148.902821316615</v>
      </c>
      <c r="J46" s="62">
        <f t="shared" si="34"/>
        <v>4</v>
      </c>
      <c r="K46" s="319">
        <f>VLOOKUP(A46,Low_Income_Minority!$A$3:$J$115,8,FALSE)</f>
        <v>0.8058809460884997</v>
      </c>
      <c r="L46" s="60">
        <f>IF(Minority&gt;=Minority_Thrshld,Min_Pts,0)</f>
        <v>5</v>
      </c>
      <c r="M46" s="321">
        <f>VLOOKUP(A46,Low_Income_Minority!$A$3:$J$115,10,FALSE)</f>
        <v>0.6422424102590297</v>
      </c>
      <c r="N46" s="61">
        <f t="shared" si="35"/>
        <v>5</v>
      </c>
      <c r="O46" s="57" t="str">
        <f>VLOOKUP(A46,Primary_Connections_To_Centers!$A$3:$K$116,9,FALSE)</f>
        <v>No</v>
      </c>
      <c r="P46" s="60">
        <f t="shared" si="36"/>
        <v>0</v>
      </c>
      <c r="Q46" s="38" t="str">
        <f>VLOOKUP(A46,Primary_Connections_To_Centers!$A$3:$K$116,10,FALSE)</f>
        <v>No</v>
      </c>
      <c r="R46" s="60">
        <f t="shared" si="37"/>
        <v>0</v>
      </c>
      <c r="S46" s="65">
        <f t="shared" si="38"/>
        <v>18</v>
      </c>
      <c r="T46" s="65"/>
      <c r="U46" s="73"/>
      <c r="V46" s="64">
        <f t="shared" si="39"/>
        <v>30</v>
      </c>
      <c r="W46" s="64">
        <f t="shared" si="40"/>
        <v>30</v>
      </c>
      <c r="X46" s="64">
        <f t="shared" si="41"/>
        <v>0</v>
      </c>
      <c r="Y46" s="38">
        <f>VLOOKUP(A46,Step_II_Load_CostRecovery_Sum!$A$5:$T$117,14,FALSE)</f>
        <v>0.44</v>
      </c>
      <c r="Z46" s="167">
        <f>VLOOKUP($A46,Step_II_Load_CostRecovery_Sum!$A$5:$T$117,15,FALSE)</f>
        <v>0.36</v>
      </c>
      <c r="AA46" s="38">
        <f t="shared" si="42"/>
        <v>0</v>
      </c>
      <c r="AB46" s="167">
        <f t="shared" si="43"/>
        <v>0</v>
      </c>
      <c r="AC46" s="288">
        <f>VLOOKUP($A46,Step_II_Load_CostRecovery_Sum!$A$5:$AE$117,29,FALSE)</f>
        <v>0.32714084065244675</v>
      </c>
      <c r="AD46" s="289">
        <f>VLOOKUP($A46,Step_II_Load_CostRecovery_Sum!$A$5:$AE$117,30,FALSE)</f>
        <v>0.20565244667503138</v>
      </c>
      <c r="AE46" s="290">
        <f>VLOOKUP($A46,Step_II_Load_CostRecovery_Sum!$A$5:$AE$117,31,FALSE)</f>
        <v>0.09060696361355082</v>
      </c>
      <c r="AF46" s="38">
        <f t="shared" si="44"/>
        <v>0</v>
      </c>
      <c r="AG46" s="25">
        <f t="shared" si="45"/>
        <v>0</v>
      </c>
      <c r="AH46" s="167">
        <f t="shared" si="46"/>
        <v>0</v>
      </c>
      <c r="AI46" s="38">
        <f t="shared" si="47"/>
        <v>0</v>
      </c>
      <c r="AJ46" s="170">
        <f t="shared" si="48"/>
        <v>60</v>
      </c>
      <c r="AK46" s="25">
        <f t="shared" si="49"/>
        <v>0</v>
      </c>
      <c r="AL46" s="167">
        <f t="shared" si="50"/>
        <v>60</v>
      </c>
      <c r="AN46" s="220">
        <f t="shared" si="51"/>
        <v>0</v>
      </c>
      <c r="AO46" s="26">
        <f t="shared" si="52"/>
        <v>0</v>
      </c>
      <c r="AP46" s="209">
        <f t="shared" si="53"/>
        <v>0</v>
      </c>
      <c r="AQ46" s="38">
        <f t="shared" si="54"/>
        <v>30</v>
      </c>
      <c r="AR46" s="25">
        <f t="shared" si="55"/>
        <v>30</v>
      </c>
      <c r="AS46" s="170">
        <f t="shared" si="56"/>
        <v>60</v>
      </c>
      <c r="AT46" s="253" t="str">
        <f t="shared" si="57"/>
        <v>Local</v>
      </c>
      <c r="AU46" s="251">
        <v>3</v>
      </c>
      <c r="AV46" s="41">
        <v>3</v>
      </c>
      <c r="AW46" s="207">
        <v>3</v>
      </c>
      <c r="AX46" s="175">
        <f>IF(AQ46="Better than 15 min",1,IF(AQ46=15,2,IF(AQ46=30,3,IF(AQ46=60,5,0))))</f>
        <v>3</v>
      </c>
      <c r="AY46" s="41">
        <f>IF(AR46="Better than 15 min",1,IF(AR46=15,2,IF(AR46=30,3,IF(AR46=60,5,0))))</f>
        <v>3</v>
      </c>
      <c r="AZ46" s="207">
        <f t="shared" si="61"/>
        <v>5</v>
      </c>
      <c r="BA46" s="38">
        <f t="shared" si="58"/>
        <v>0</v>
      </c>
      <c r="BB46" s="25">
        <f t="shared" si="59"/>
        <v>0</v>
      </c>
      <c r="BC46" s="167">
        <f t="shared" si="60"/>
        <v>2</v>
      </c>
    </row>
    <row r="47" spans="1:55" ht="12.75">
      <c r="A47" t="s">
        <v>34</v>
      </c>
      <c r="B47" s="79">
        <v>44</v>
      </c>
      <c r="C47" s="5" t="s">
        <v>35</v>
      </c>
      <c r="D47" s="6" t="s">
        <v>4</v>
      </c>
      <c r="E47" s="17" t="s">
        <v>36</v>
      </c>
      <c r="F47" s="8" t="s">
        <v>37</v>
      </c>
      <c r="G47" s="67">
        <f>VLOOKUP($A47,HH_Jobs_CorridorLength!$A$2:$F$116,5,FALSE)</f>
        <v>3259.7451262942423</v>
      </c>
      <c r="H47" s="62">
        <f t="shared" si="33"/>
        <v>10</v>
      </c>
      <c r="I47" s="67">
        <f>VLOOKUP($A47,HH_Jobs_CorridorLength!$A$2:$F$116,6,FALSE)</f>
        <v>17334.15368309084</v>
      </c>
      <c r="J47" s="62">
        <f t="shared" si="34"/>
        <v>7</v>
      </c>
      <c r="K47" s="319">
        <f>VLOOKUP(A47,Low_Income_Minority!$A$3:$J$115,8,FALSE)</f>
        <v>0.37169159890669484</v>
      </c>
      <c r="L47" s="60">
        <f>IF(Minority&gt;=Minority_Thrshld,Min_Pts,0)</f>
        <v>0</v>
      </c>
      <c r="M47" s="321">
        <f>VLOOKUP(A47,Low_Income_Minority!$A$3:$J$115,10,FALSE)</f>
        <v>0.4624795593180523</v>
      </c>
      <c r="N47" s="61">
        <f t="shared" si="35"/>
        <v>0</v>
      </c>
      <c r="O47" s="57" t="str">
        <f>VLOOKUP(A47,Primary_Connections_To_Centers!$A$3:$K$116,9,FALSE)</f>
        <v>No</v>
      </c>
      <c r="P47" s="60">
        <f t="shared" si="36"/>
        <v>0</v>
      </c>
      <c r="Q47" s="38" t="str">
        <f>VLOOKUP(A47,Primary_Connections_To_Centers!$A$3:$K$116,10,FALSE)</f>
        <v>No</v>
      </c>
      <c r="R47" s="60">
        <f t="shared" si="37"/>
        <v>0</v>
      </c>
      <c r="S47" s="65">
        <f t="shared" si="38"/>
        <v>17</v>
      </c>
      <c r="T47" s="65"/>
      <c r="U47" s="73"/>
      <c r="V47" s="64">
        <f t="shared" si="39"/>
        <v>30</v>
      </c>
      <c r="W47" s="64">
        <f t="shared" si="40"/>
        <v>30</v>
      </c>
      <c r="X47" s="64">
        <f t="shared" si="41"/>
        <v>0</v>
      </c>
      <c r="Y47" s="38">
        <f>VLOOKUP(A47,Step_II_Load_CostRecovery_Sum!$A$5:$T$117,14,FALSE)</f>
        <v>0.95</v>
      </c>
      <c r="Z47" s="167">
        <f>VLOOKUP($A47,Step_II_Load_CostRecovery_Sum!$A$5:$T$117,15,FALSE)</f>
        <v>0.66</v>
      </c>
      <c r="AA47" s="38">
        <f t="shared" si="42"/>
        <v>1</v>
      </c>
      <c r="AB47" s="167">
        <f t="shared" si="43"/>
        <v>0</v>
      </c>
      <c r="AC47" s="288">
        <f>VLOOKUP($A47,Step_II_Load_CostRecovery_Sum!$A$5:$AE$117,29,FALSE)</f>
        <v>1.4670138017565875</v>
      </c>
      <c r="AD47" s="289">
        <f>VLOOKUP($A47,Step_II_Load_CostRecovery_Sum!$A$5:$AE$117,30,FALSE)</f>
        <v>0.8336762860727729</v>
      </c>
      <c r="AE47" s="290">
        <f>VLOOKUP($A47,Step_II_Load_CostRecovery_Sum!$A$5:$AE$117,31,FALSE)</f>
        <v>0.20150250941028858</v>
      </c>
      <c r="AF47" s="38">
        <f t="shared" si="44"/>
        <v>2</v>
      </c>
      <c r="AG47" s="25">
        <f t="shared" si="45"/>
        <v>1</v>
      </c>
      <c r="AH47" s="167">
        <f t="shared" si="46"/>
        <v>0</v>
      </c>
      <c r="AI47" s="38">
        <f t="shared" si="47"/>
        <v>0</v>
      </c>
      <c r="AJ47" s="170">
        <f t="shared" si="48"/>
        <v>30</v>
      </c>
      <c r="AK47" s="25">
        <f t="shared" si="49"/>
        <v>30</v>
      </c>
      <c r="AL47" s="167">
        <f t="shared" si="50"/>
        <v>30</v>
      </c>
      <c r="AN47" s="220">
        <f t="shared" si="51"/>
        <v>2</v>
      </c>
      <c r="AO47" s="26">
        <f t="shared" si="52"/>
        <v>1</v>
      </c>
      <c r="AP47" s="209">
        <f t="shared" si="53"/>
        <v>0</v>
      </c>
      <c r="AQ47" s="38" t="str">
        <f t="shared" si="54"/>
        <v>Better than 15 min</v>
      </c>
      <c r="AR47" s="25">
        <f t="shared" si="55"/>
        <v>15</v>
      </c>
      <c r="AS47" s="170">
        <f t="shared" si="56"/>
        <v>30</v>
      </c>
      <c r="AT47" s="253" t="str">
        <f t="shared" si="57"/>
        <v>Very Frequent</v>
      </c>
      <c r="AU47" s="251">
        <v>1</v>
      </c>
      <c r="AV47" s="41">
        <v>2</v>
      </c>
      <c r="AW47" s="207">
        <v>3</v>
      </c>
      <c r="AX47" s="175">
        <f>IF(AQ47="Better than 15 min",1,IF(AQ47=15,2,IF(AQ47=30,3,IF(AQ47=60,5,0))))</f>
        <v>1</v>
      </c>
      <c r="AY47" s="41">
        <f>IF(AR47="Better than 15 min",1,IF(AR47=15,2,IF(AR47=30,3,IF(AR47=60,5,0))))</f>
        <v>2</v>
      </c>
      <c r="AZ47" s="207">
        <f t="shared" si="61"/>
        <v>3</v>
      </c>
      <c r="BA47" s="38">
        <f t="shared" si="58"/>
        <v>0</v>
      </c>
      <c r="BB47" s="25">
        <f t="shared" si="59"/>
        <v>0</v>
      </c>
      <c r="BC47" s="167">
        <f t="shared" si="60"/>
        <v>0</v>
      </c>
    </row>
    <row r="48" spans="1:55" ht="12.75">
      <c r="A48" t="s">
        <v>159</v>
      </c>
      <c r="B48" s="79">
        <v>45</v>
      </c>
      <c r="C48" s="5" t="s">
        <v>21</v>
      </c>
      <c r="D48" s="6" t="s">
        <v>4</v>
      </c>
      <c r="E48" s="17" t="s">
        <v>160</v>
      </c>
      <c r="F48" s="6">
        <v>25</v>
      </c>
      <c r="G48" s="67">
        <f>VLOOKUP($A48,HH_Jobs_CorridorLength!$A$2:$F$116,5,FALSE)</f>
        <v>1523.5328769561213</v>
      </c>
      <c r="H48" s="62">
        <f t="shared" si="33"/>
        <v>4</v>
      </c>
      <c r="I48" s="67">
        <f>VLOOKUP($A48,HH_Jobs_CorridorLength!$A$2:$F$116,6,FALSE)</f>
        <v>12660.902977191074</v>
      </c>
      <c r="J48" s="62">
        <f t="shared" si="34"/>
        <v>7</v>
      </c>
      <c r="K48" s="319">
        <f>VLOOKUP(A48,Low_Income_Minority!$A$3:$J$115,8,FALSE)</f>
        <v>0.20438356014306022</v>
      </c>
      <c r="L48" s="60">
        <f>IF(Minority&gt;=Minority_Thrshld,Min_Pts,0)</f>
        <v>0</v>
      </c>
      <c r="M48" s="321">
        <f>VLOOKUP(A48,Low_Income_Minority!$A$3:$J$115,10,FALSE)</f>
        <v>0.6799999993778255</v>
      </c>
      <c r="N48" s="61">
        <f t="shared" si="35"/>
        <v>5</v>
      </c>
      <c r="O48" s="57" t="str">
        <f>VLOOKUP(A48,Primary_Connections_To_Centers!$A$3:$K$116,9,FALSE)</f>
        <v>No</v>
      </c>
      <c r="P48" s="60">
        <f t="shared" si="36"/>
        <v>0</v>
      </c>
      <c r="Q48" s="38" t="str">
        <f>VLOOKUP(A48,Primary_Connections_To_Centers!$A$3:$K$116,10,FALSE)</f>
        <v>No</v>
      </c>
      <c r="R48" s="60">
        <f t="shared" si="37"/>
        <v>0</v>
      </c>
      <c r="S48" s="65">
        <f t="shared" si="38"/>
        <v>16</v>
      </c>
      <c r="T48" s="65"/>
      <c r="U48" s="73"/>
      <c r="V48" s="64">
        <f t="shared" si="39"/>
        <v>30</v>
      </c>
      <c r="W48" s="64">
        <f t="shared" si="40"/>
        <v>30</v>
      </c>
      <c r="X48" s="64">
        <f t="shared" si="41"/>
        <v>0</v>
      </c>
      <c r="Y48" s="38">
        <f>VLOOKUP(A48,Step_II_Load_CostRecovery_Sum!$A$5:$T$117,14,FALSE)</f>
        <v>0.42</v>
      </c>
      <c r="Z48" s="167">
        <f>VLOOKUP($A48,Step_II_Load_CostRecovery_Sum!$A$5:$T$117,15,FALSE)</f>
        <v>0.27</v>
      </c>
      <c r="AA48" s="38">
        <f t="shared" si="42"/>
        <v>0</v>
      </c>
      <c r="AB48" s="167">
        <f t="shared" si="43"/>
        <v>0</v>
      </c>
      <c r="AC48" s="288">
        <f>VLOOKUP($A48,Step_II_Load_CostRecovery_Sum!$A$5:$AE$117,29,FALSE)</f>
        <v>0.1586198243412798</v>
      </c>
      <c r="AD48" s="289">
        <f>VLOOKUP($A48,Step_II_Load_CostRecovery_Sum!$A$5:$AE$117,30,FALSE)</f>
        <v>0.05656210790464242</v>
      </c>
      <c r="AE48" s="290" t="str">
        <f>VLOOKUP($A48,Step_II_Load_CostRecovery_Sum!$A$5:$AE$117,31,FALSE)</f>
        <v>N/A</v>
      </c>
      <c r="AF48" s="38">
        <f t="shared" si="44"/>
        <v>0</v>
      </c>
      <c r="AG48" s="25">
        <f t="shared" si="45"/>
        <v>0</v>
      </c>
      <c r="AH48" s="167" t="str">
        <f t="shared" si="46"/>
        <v>N/A</v>
      </c>
      <c r="AI48" s="38">
        <f t="shared" si="47"/>
        <v>0</v>
      </c>
      <c r="AJ48" s="170" t="str">
        <f t="shared" si="48"/>
        <v>N/A</v>
      </c>
      <c r="AK48" s="25">
        <f t="shared" si="49"/>
        <v>0</v>
      </c>
      <c r="AL48" s="167">
        <f t="shared" si="50"/>
        <v>0</v>
      </c>
      <c r="AN48" s="220">
        <f t="shared" si="51"/>
        <v>0</v>
      </c>
      <c r="AO48" s="26">
        <f t="shared" si="52"/>
        <v>0</v>
      </c>
      <c r="AP48" s="209">
        <f t="shared" si="53"/>
        <v>0</v>
      </c>
      <c r="AQ48" s="38">
        <f t="shared" si="54"/>
        <v>30</v>
      </c>
      <c r="AR48" s="25">
        <f t="shared" si="55"/>
        <v>30</v>
      </c>
      <c r="AS48" s="170">
        <f t="shared" si="56"/>
        <v>0</v>
      </c>
      <c r="AT48" s="253" t="str">
        <f t="shared" si="57"/>
        <v>Local</v>
      </c>
      <c r="AU48" s="251">
        <v>3</v>
      </c>
      <c r="AV48" s="41">
        <v>5</v>
      </c>
      <c r="AW48" s="207">
        <v>6</v>
      </c>
      <c r="AX48" s="175">
        <f aca="true" t="shared" si="63" ref="AX48:AY50">IF(AQ48="Better than 15 min",1,IF(AQ48=15,2,IF(AQ48=30,3,IF(AQ48=60,5,6))))</f>
        <v>3</v>
      </c>
      <c r="AY48" s="41">
        <f t="shared" si="63"/>
        <v>3</v>
      </c>
      <c r="AZ48" s="207">
        <f t="shared" si="61"/>
        <v>6</v>
      </c>
      <c r="BA48" s="38">
        <f t="shared" si="58"/>
        <v>0</v>
      </c>
      <c r="BB48" s="25">
        <f t="shared" si="59"/>
        <v>-2</v>
      </c>
      <c r="BC48" s="167">
        <f t="shared" si="60"/>
        <v>0</v>
      </c>
    </row>
    <row r="49" spans="1:55" ht="12.75">
      <c r="A49" t="s">
        <v>85</v>
      </c>
      <c r="B49" s="79">
        <v>46</v>
      </c>
      <c r="C49" s="5" t="s">
        <v>86</v>
      </c>
      <c r="D49" s="6" t="s">
        <v>4</v>
      </c>
      <c r="E49" s="17" t="s">
        <v>87</v>
      </c>
      <c r="F49" s="10">
        <v>16</v>
      </c>
      <c r="G49" s="67">
        <f>VLOOKUP($A49,HH_Jobs_CorridorLength!$A$2:$F$116,5,FALSE)</f>
        <v>2282.5960777093064</v>
      </c>
      <c r="H49" s="62">
        <f t="shared" si="33"/>
        <v>7</v>
      </c>
      <c r="I49" s="67">
        <f>VLOOKUP($A49,HH_Jobs_CorridorLength!$A$2:$F$116,6,FALSE)</f>
        <v>8507.358418334801</v>
      </c>
      <c r="J49" s="62">
        <f t="shared" si="34"/>
        <v>4</v>
      </c>
      <c r="K49" s="319">
        <f>VLOOKUP(A49,Low_Income_Minority!$A$3:$J$115,8,FALSE)</f>
        <v>0.24150239739330873</v>
      </c>
      <c r="L49" s="60">
        <f>IF(Minority&gt;=Minority_Thrshld,Min_Pts,0)</f>
        <v>0</v>
      </c>
      <c r="M49" s="321">
        <f>VLOOKUP(A49,Low_Income_Minority!$A$3:$J$115,10,FALSE)</f>
        <v>0.42056473051721577</v>
      </c>
      <c r="N49" s="61">
        <f t="shared" si="35"/>
        <v>0</v>
      </c>
      <c r="O49" s="57" t="str">
        <f>VLOOKUP(A49,Primary_Connections_To_Centers!$A$3:$K$116,9,FALSE)</f>
        <v>Yes</v>
      </c>
      <c r="P49" s="60">
        <f t="shared" si="36"/>
        <v>5</v>
      </c>
      <c r="Q49" s="38" t="str">
        <f>VLOOKUP(A49,Primary_Connections_To_Centers!$A$3:$K$116,10,FALSE)</f>
        <v>No</v>
      </c>
      <c r="R49" s="60">
        <f t="shared" si="37"/>
        <v>0</v>
      </c>
      <c r="S49" s="65">
        <f t="shared" si="38"/>
        <v>16</v>
      </c>
      <c r="T49" s="65"/>
      <c r="U49" s="73"/>
      <c r="V49" s="64">
        <f t="shared" si="39"/>
        <v>30</v>
      </c>
      <c r="W49" s="64">
        <f t="shared" si="40"/>
        <v>30</v>
      </c>
      <c r="X49" s="64">
        <f t="shared" si="41"/>
        <v>0</v>
      </c>
      <c r="Y49" s="38">
        <f>VLOOKUP(A49,Step_II_Load_CostRecovery_Sum!$A$5:$T$117,14,FALSE)</f>
        <v>1.33</v>
      </c>
      <c r="Z49" s="167">
        <f>VLOOKUP($A49,Step_II_Load_CostRecovery_Sum!$A$5:$T$117,15,FALSE)</f>
        <v>0.99</v>
      </c>
      <c r="AA49" s="38">
        <f t="shared" si="42"/>
        <v>1</v>
      </c>
      <c r="AB49" s="167">
        <f t="shared" si="43"/>
        <v>1</v>
      </c>
      <c r="AC49" s="288">
        <f>VLOOKUP($A49,Step_II_Load_CostRecovery_Sum!$A$5:$AE$117,29,FALSE)</f>
        <v>0.471555834378921</v>
      </c>
      <c r="AD49" s="289">
        <f>VLOOKUP($A49,Step_II_Load_CostRecovery_Sum!$A$5:$AE$117,30,FALSE)</f>
        <v>0.37971925972396486</v>
      </c>
      <c r="AE49" s="290">
        <f>VLOOKUP($A49,Step_II_Load_CostRecovery_Sum!$A$5:$AE$117,31,FALSE)</f>
        <v>0.13118412797992474</v>
      </c>
      <c r="AF49" s="38">
        <f t="shared" si="44"/>
        <v>0</v>
      </c>
      <c r="AG49" s="25">
        <f t="shared" si="45"/>
        <v>0</v>
      </c>
      <c r="AH49" s="167">
        <f t="shared" si="46"/>
        <v>0</v>
      </c>
      <c r="AI49" s="38">
        <f t="shared" si="47"/>
        <v>0</v>
      </c>
      <c r="AJ49" s="170">
        <f t="shared" si="48"/>
        <v>60</v>
      </c>
      <c r="AK49" s="25">
        <f t="shared" si="49"/>
        <v>30</v>
      </c>
      <c r="AL49" s="167">
        <f t="shared" si="50"/>
        <v>30</v>
      </c>
      <c r="AN49" s="220">
        <f t="shared" si="51"/>
        <v>1</v>
      </c>
      <c r="AO49" s="26">
        <f t="shared" si="52"/>
        <v>1</v>
      </c>
      <c r="AP49" s="209">
        <f t="shared" si="53"/>
        <v>0</v>
      </c>
      <c r="AQ49" s="38">
        <f t="shared" si="54"/>
        <v>15</v>
      </c>
      <c r="AR49" s="25">
        <f t="shared" si="55"/>
        <v>15</v>
      </c>
      <c r="AS49" s="170">
        <f t="shared" si="56"/>
        <v>30</v>
      </c>
      <c r="AT49" s="253" t="str">
        <f t="shared" si="57"/>
        <v>Very Frequent</v>
      </c>
      <c r="AU49" s="251">
        <v>3</v>
      </c>
      <c r="AV49" s="41">
        <v>3</v>
      </c>
      <c r="AW49" s="207">
        <v>3</v>
      </c>
      <c r="AX49" s="175">
        <f t="shared" si="63"/>
        <v>2</v>
      </c>
      <c r="AY49" s="41">
        <f t="shared" si="63"/>
        <v>2</v>
      </c>
      <c r="AZ49" s="207">
        <f t="shared" si="61"/>
        <v>3</v>
      </c>
      <c r="BA49" s="38">
        <f t="shared" si="58"/>
        <v>-1</v>
      </c>
      <c r="BB49" s="25">
        <f t="shared" si="59"/>
        <v>-1</v>
      </c>
      <c r="BC49" s="167">
        <f t="shared" si="60"/>
        <v>0</v>
      </c>
    </row>
    <row r="50" spans="1:55" ht="12.75">
      <c r="A50" t="s">
        <v>182</v>
      </c>
      <c r="B50" s="79">
        <v>47</v>
      </c>
      <c r="C50" s="5" t="s">
        <v>21</v>
      </c>
      <c r="D50" s="6" t="s">
        <v>119</v>
      </c>
      <c r="E50" s="17" t="s">
        <v>183</v>
      </c>
      <c r="F50" s="10">
        <v>271</v>
      </c>
      <c r="G50" s="67">
        <f>VLOOKUP($A50,HH_Jobs_CorridorLength!$A$2:$F$116,5,FALSE)</f>
        <v>661.9018673942011</v>
      </c>
      <c r="H50" s="62">
        <f t="shared" si="33"/>
        <v>0</v>
      </c>
      <c r="I50" s="67">
        <f>VLOOKUP($A50,HH_Jobs_CorridorLength!$A$2:$F$116,6,FALSE)</f>
        <v>5455.052499333979</v>
      </c>
      <c r="J50" s="62">
        <f t="shared" si="34"/>
        <v>0</v>
      </c>
      <c r="K50" s="319">
        <f>VLOOKUP(A50,Low_Income_Minority!$A$3:$J$115,8,FALSE)</f>
        <v>0.8231545163308348</v>
      </c>
      <c r="L50" s="60">
        <f>IF(Minority&gt;=Minority_Thrshld,Min_Pts,0)</f>
        <v>5</v>
      </c>
      <c r="M50" s="321">
        <f>VLOOKUP(A50,Low_Income_Minority!$A$3:$J$115,10,FALSE)</f>
        <v>0.4065566221983646</v>
      </c>
      <c r="N50" s="61">
        <f t="shared" si="35"/>
        <v>0</v>
      </c>
      <c r="O50" s="57" t="str">
        <f>VLOOKUP(A50,Primary_Connections_To_Centers!$A$3:$K$116,9,FALSE)</f>
        <v>Yes</v>
      </c>
      <c r="P50" s="60">
        <f t="shared" si="36"/>
        <v>5</v>
      </c>
      <c r="Q50" s="38" t="str">
        <f>VLOOKUP(A50,Primary_Connections_To_Centers!$A$3:$K$116,10,FALSE)</f>
        <v>Yes</v>
      </c>
      <c r="R50" s="60">
        <f t="shared" si="37"/>
        <v>5</v>
      </c>
      <c r="S50" s="65">
        <f t="shared" si="38"/>
        <v>15</v>
      </c>
      <c r="T50" s="65"/>
      <c r="U50" s="73"/>
      <c r="V50" s="64">
        <f t="shared" si="39"/>
        <v>30</v>
      </c>
      <c r="W50" s="64">
        <f t="shared" si="40"/>
        <v>30</v>
      </c>
      <c r="X50" s="64">
        <f t="shared" si="41"/>
        <v>0</v>
      </c>
      <c r="Y50" s="38">
        <f>VLOOKUP(A50,Step_II_Load_CostRecovery_Sum!$A$5:$T$117,14,FALSE)</f>
        <v>1.76</v>
      </c>
      <c r="Z50" s="167">
        <f>VLOOKUP($A50,Step_II_Load_CostRecovery_Sum!$A$5:$T$117,15,FALSE)</f>
        <v>0.69</v>
      </c>
      <c r="AA50" s="38">
        <f t="shared" si="42"/>
        <v>2</v>
      </c>
      <c r="AB50" s="167">
        <f t="shared" si="43"/>
        <v>0</v>
      </c>
      <c r="AC50" s="288">
        <f>VLOOKUP($A50,Step_II_Load_CostRecovery_Sum!$A$5:$AE$117,29,FALSE)</f>
        <v>0.5074811794228357</v>
      </c>
      <c r="AD50" s="289">
        <f>VLOOKUP($A50,Step_II_Load_CostRecovery_Sum!$A$5:$AE$117,30,FALSE)</f>
        <v>0.196814617314931</v>
      </c>
      <c r="AE50" s="290">
        <f>VLOOKUP($A50,Step_II_Load_CostRecovery_Sum!$A$5:$AE$117,31,FALSE)</f>
        <v>0.11496863237139272</v>
      </c>
      <c r="AF50" s="38">
        <f t="shared" si="44"/>
        <v>1</v>
      </c>
      <c r="AG50" s="25">
        <f t="shared" si="45"/>
        <v>0</v>
      </c>
      <c r="AH50" s="167">
        <f t="shared" si="46"/>
        <v>0</v>
      </c>
      <c r="AI50" s="38">
        <f t="shared" si="47"/>
        <v>60</v>
      </c>
      <c r="AJ50" s="170">
        <f t="shared" si="48"/>
        <v>60</v>
      </c>
      <c r="AK50" s="25">
        <f t="shared" si="49"/>
        <v>30</v>
      </c>
      <c r="AL50" s="167">
        <f t="shared" si="50"/>
        <v>30</v>
      </c>
      <c r="AN50" s="220">
        <f t="shared" si="51"/>
        <v>2</v>
      </c>
      <c r="AO50" s="26">
        <f t="shared" si="52"/>
        <v>0</v>
      </c>
      <c r="AP50" s="209">
        <f t="shared" si="53"/>
        <v>0</v>
      </c>
      <c r="AQ50" s="38" t="str">
        <f t="shared" si="54"/>
        <v>Better than 15 min</v>
      </c>
      <c r="AR50" s="25">
        <f t="shared" si="55"/>
        <v>30</v>
      </c>
      <c r="AS50" s="170">
        <f t="shared" si="56"/>
        <v>30</v>
      </c>
      <c r="AT50" s="253" t="str">
        <f t="shared" si="57"/>
        <v>Frequent</v>
      </c>
      <c r="AU50" s="251">
        <v>1</v>
      </c>
      <c r="AV50" s="41">
        <v>2</v>
      </c>
      <c r="AW50" s="207">
        <v>3</v>
      </c>
      <c r="AX50" s="175">
        <f t="shared" si="63"/>
        <v>1</v>
      </c>
      <c r="AY50" s="41">
        <f t="shared" si="63"/>
        <v>3</v>
      </c>
      <c r="AZ50" s="207">
        <f t="shared" si="61"/>
        <v>3</v>
      </c>
      <c r="BA50" s="38">
        <f t="shared" si="58"/>
        <v>0</v>
      </c>
      <c r="BB50" s="25">
        <f t="shared" si="59"/>
        <v>1</v>
      </c>
      <c r="BC50" s="167">
        <f t="shared" si="60"/>
        <v>0</v>
      </c>
    </row>
    <row r="51" spans="1:55" ht="12.75">
      <c r="A51" t="s">
        <v>107</v>
      </c>
      <c r="B51" s="79">
        <v>48</v>
      </c>
      <c r="C51" s="5" t="s">
        <v>108</v>
      </c>
      <c r="D51" s="6" t="s">
        <v>92</v>
      </c>
      <c r="E51" s="17" t="s">
        <v>109</v>
      </c>
      <c r="F51" s="10">
        <v>181</v>
      </c>
      <c r="G51" s="67">
        <f>VLOOKUP($A51,HH_Jobs_CorridorLength!$A$2:$F$116,5,FALSE)</f>
        <v>541.8601117219292</v>
      </c>
      <c r="H51" s="62">
        <f t="shared" si="33"/>
        <v>0</v>
      </c>
      <c r="I51" s="67">
        <f>VLOOKUP($A51,HH_Jobs_CorridorLength!$A$2:$F$116,6,FALSE)</f>
        <v>676.4570776069523</v>
      </c>
      <c r="J51" s="62">
        <f t="shared" si="34"/>
        <v>0</v>
      </c>
      <c r="K51" s="319">
        <f>VLOOKUP(A51,Low_Income_Minority!$A$3:$J$115,8,FALSE)</f>
        <v>0.31657531479213374</v>
      </c>
      <c r="L51" s="60">
        <f>IF(Minority&gt;=Minority_Thrshld,Min_Pts,0)</f>
        <v>0</v>
      </c>
      <c r="M51" s="321">
        <f>VLOOKUP(A51,Low_Income_Minority!$A$3:$J$115,10,FALSE)</f>
        <v>0.8790398794383213</v>
      </c>
      <c r="N51" s="61">
        <f t="shared" si="35"/>
        <v>5</v>
      </c>
      <c r="O51" s="57" t="str">
        <f>VLOOKUP(A51,Primary_Connections_To_Centers!$A$3:$K$116,9,FALSE)</f>
        <v>Yes</v>
      </c>
      <c r="P51" s="60">
        <f t="shared" si="36"/>
        <v>5</v>
      </c>
      <c r="Q51" s="38" t="str">
        <f>VLOOKUP(A51,Primary_Connections_To_Centers!$A$3:$K$116,10,FALSE)</f>
        <v>Yes</v>
      </c>
      <c r="R51" s="60">
        <f t="shared" si="37"/>
        <v>5</v>
      </c>
      <c r="S51" s="65">
        <f t="shared" si="38"/>
        <v>15</v>
      </c>
      <c r="T51" s="65"/>
      <c r="U51" s="73"/>
      <c r="V51" s="64">
        <f t="shared" si="39"/>
        <v>30</v>
      </c>
      <c r="W51" s="64">
        <f t="shared" si="40"/>
        <v>30</v>
      </c>
      <c r="X51" s="64">
        <f t="shared" si="41"/>
        <v>0</v>
      </c>
      <c r="Y51" s="38">
        <f>VLOOKUP(A51,Step_II_Load_CostRecovery_Sum!$A$5:$T$117,14,FALSE)</f>
        <v>0.51</v>
      </c>
      <c r="Z51" s="167">
        <f>VLOOKUP($A51,Step_II_Load_CostRecovery_Sum!$A$5:$T$117,15,FALSE)</f>
        <v>0.52</v>
      </c>
      <c r="AA51" s="38">
        <f t="shared" si="42"/>
        <v>0</v>
      </c>
      <c r="AB51" s="167">
        <f t="shared" si="43"/>
        <v>0</v>
      </c>
      <c r="AC51" s="288">
        <f>VLOOKUP($A51,Step_II_Load_CostRecovery_Sum!$A$5:$AE$117,29,FALSE)</f>
        <v>0.27033877038895865</v>
      </c>
      <c r="AD51" s="289">
        <f>VLOOKUP($A51,Step_II_Load_CostRecovery_Sum!$A$5:$AE$117,30,FALSE)</f>
        <v>0.21879391468005016</v>
      </c>
      <c r="AE51" s="290">
        <f>VLOOKUP($A51,Step_II_Load_CostRecovery_Sum!$A$5:$AE$117,31,FALSE)</f>
        <v>0.12626568381430364</v>
      </c>
      <c r="AF51" s="38">
        <f t="shared" si="44"/>
        <v>0</v>
      </c>
      <c r="AG51" s="25">
        <f t="shared" si="45"/>
        <v>0</v>
      </c>
      <c r="AH51" s="167">
        <f t="shared" si="46"/>
        <v>0</v>
      </c>
      <c r="AI51" s="38">
        <f t="shared" si="47"/>
        <v>60</v>
      </c>
      <c r="AJ51" s="170">
        <f t="shared" si="48"/>
        <v>60</v>
      </c>
      <c r="AK51" s="25">
        <f t="shared" si="49"/>
        <v>0</v>
      </c>
      <c r="AL51" s="167">
        <f t="shared" si="50"/>
        <v>60</v>
      </c>
      <c r="AN51" s="220">
        <f t="shared" si="51"/>
        <v>0</v>
      </c>
      <c r="AO51" s="26">
        <f t="shared" si="52"/>
        <v>0</v>
      </c>
      <c r="AP51" s="209">
        <f t="shared" si="53"/>
        <v>0</v>
      </c>
      <c r="AQ51" s="38">
        <f t="shared" si="54"/>
        <v>30</v>
      </c>
      <c r="AR51" s="25">
        <f t="shared" si="55"/>
        <v>30</v>
      </c>
      <c r="AS51" s="170">
        <f t="shared" si="56"/>
        <v>60</v>
      </c>
      <c r="AT51" s="253" t="str">
        <f t="shared" si="57"/>
        <v>Local</v>
      </c>
      <c r="AU51" s="251">
        <v>3</v>
      </c>
      <c r="AV51" s="41">
        <v>3</v>
      </c>
      <c r="AW51" s="207">
        <v>3</v>
      </c>
      <c r="AX51" s="175">
        <f aca="true" t="shared" si="64" ref="AX51:AY56">IF(AQ51="Better than 15 min",1,IF(AQ51=15,2,IF(AQ51=30,3,IF(AQ51=60,5,0))))</f>
        <v>3</v>
      </c>
      <c r="AY51" s="41">
        <f t="shared" si="64"/>
        <v>3</v>
      </c>
      <c r="AZ51" s="207">
        <f t="shared" si="61"/>
        <v>5</v>
      </c>
      <c r="BA51" s="38">
        <f t="shared" si="58"/>
        <v>0</v>
      </c>
      <c r="BB51" s="25">
        <f t="shared" si="59"/>
        <v>0</v>
      </c>
      <c r="BC51" s="167">
        <f t="shared" si="60"/>
        <v>2</v>
      </c>
    </row>
    <row r="52" spans="1:55" ht="12.75">
      <c r="A52" t="s">
        <v>238</v>
      </c>
      <c r="B52" s="79">
        <v>49</v>
      </c>
      <c r="C52" s="5" t="s">
        <v>120</v>
      </c>
      <c r="D52" s="6" t="s">
        <v>239</v>
      </c>
      <c r="E52" s="17" t="s">
        <v>240</v>
      </c>
      <c r="F52" s="7">
        <v>930</v>
      </c>
      <c r="G52" s="67">
        <f>VLOOKUP($A52,HH_Jobs_CorridorLength!$A$2:$F$116,5,FALSE)</f>
        <v>640.0510204081633</v>
      </c>
      <c r="H52" s="62">
        <f t="shared" si="33"/>
        <v>0</v>
      </c>
      <c r="I52" s="67">
        <f>VLOOKUP($A52,HH_Jobs_CorridorLength!$A$2:$F$116,6,FALSE)</f>
        <v>2134.9489795918366</v>
      </c>
      <c r="J52" s="62">
        <f t="shared" si="34"/>
        <v>0</v>
      </c>
      <c r="K52" s="319">
        <f>VLOOKUP(A52,Low_Income_Minority!$A$3:$J$115,8,FALSE)</f>
        <v>0.6470588235294118</v>
      </c>
      <c r="L52" s="60">
        <f>IF(Minority&gt;=Minority_Thrshld,Min_Pts,0)</f>
        <v>5</v>
      </c>
      <c r="M52" s="321">
        <f>VLOOKUP(A52,Low_Income_Minority!$A$3:$J$115,10,FALSE)</f>
        <v>0.17647058823529413</v>
      </c>
      <c r="N52" s="61">
        <f t="shared" si="35"/>
        <v>0</v>
      </c>
      <c r="O52" s="57" t="str">
        <f>VLOOKUP(A52,Primary_Connections_To_Centers!$A$3:$K$116,9,FALSE)</f>
        <v>Yes</v>
      </c>
      <c r="P52" s="60">
        <f t="shared" si="36"/>
        <v>5</v>
      </c>
      <c r="Q52" s="38" t="str">
        <f>VLOOKUP(A52,Primary_Connections_To_Centers!$A$3:$K$116,10,FALSE)</f>
        <v>Yes</v>
      </c>
      <c r="R52" s="60">
        <f t="shared" si="37"/>
        <v>5</v>
      </c>
      <c r="S52" s="65">
        <f t="shared" si="38"/>
        <v>15</v>
      </c>
      <c r="T52" s="65"/>
      <c r="U52" s="73"/>
      <c r="V52" s="64">
        <f t="shared" si="39"/>
        <v>30</v>
      </c>
      <c r="W52" s="64">
        <f t="shared" si="40"/>
        <v>30</v>
      </c>
      <c r="X52" s="64">
        <f t="shared" si="41"/>
        <v>0</v>
      </c>
      <c r="Y52" s="38">
        <f>VLOOKUP(A52,Step_II_Load_CostRecovery_Sum!$A$5:$T$117,14,FALSE)</f>
        <v>0.4</v>
      </c>
      <c r="Z52" s="167">
        <f>VLOOKUP($A52,Step_II_Load_CostRecovery_Sum!$A$5:$T$117,15,FALSE)</f>
        <v>0.36</v>
      </c>
      <c r="AA52" s="38">
        <f t="shared" si="42"/>
        <v>0</v>
      </c>
      <c r="AB52" s="167">
        <f t="shared" si="43"/>
        <v>0</v>
      </c>
      <c r="AC52" s="288">
        <f>VLOOKUP($A52,Step_II_Load_CostRecovery_Sum!$A$5:$AE$117,29,FALSE)</f>
        <v>0.084930991217064</v>
      </c>
      <c r="AD52" s="289" t="str">
        <f>VLOOKUP($A52,Step_II_Load_CostRecovery_Sum!$A$5:$AE$117,30,FALSE)</f>
        <v>N/A</v>
      </c>
      <c r="AE52" s="290" t="str">
        <f>VLOOKUP($A52,Step_II_Load_CostRecovery_Sum!$A$5:$AE$117,31,FALSE)</f>
        <v>N/A</v>
      </c>
      <c r="AF52" s="38">
        <f t="shared" si="44"/>
        <v>0</v>
      </c>
      <c r="AG52" s="25" t="str">
        <f t="shared" si="45"/>
        <v>N/A</v>
      </c>
      <c r="AH52" s="167" t="str">
        <f t="shared" si="46"/>
        <v>N/A</v>
      </c>
      <c r="AI52" s="38">
        <f t="shared" si="47"/>
        <v>60</v>
      </c>
      <c r="AJ52" s="170" t="str">
        <f t="shared" si="48"/>
        <v>N/A</v>
      </c>
      <c r="AK52" s="25">
        <f t="shared" si="49"/>
        <v>0</v>
      </c>
      <c r="AL52" s="167">
        <f t="shared" si="50"/>
        <v>60</v>
      </c>
      <c r="AN52" s="220">
        <f t="shared" si="51"/>
        <v>0</v>
      </c>
      <c r="AO52" s="26">
        <f t="shared" si="52"/>
        <v>0</v>
      </c>
      <c r="AP52" s="209">
        <f t="shared" si="53"/>
        <v>0</v>
      </c>
      <c r="AQ52" s="38">
        <f t="shared" si="54"/>
        <v>30</v>
      </c>
      <c r="AR52" s="25">
        <f t="shared" si="55"/>
        <v>30</v>
      </c>
      <c r="AS52" s="170">
        <f t="shared" si="56"/>
        <v>60</v>
      </c>
      <c r="AT52" s="253" t="str">
        <f t="shared" si="57"/>
        <v>Local</v>
      </c>
      <c r="AU52" s="251">
        <v>3</v>
      </c>
      <c r="AV52" s="41">
        <v>6</v>
      </c>
      <c r="AW52" s="207">
        <v>6</v>
      </c>
      <c r="AX52" s="175">
        <f t="shared" si="64"/>
        <v>3</v>
      </c>
      <c r="AY52" s="41">
        <f t="shared" si="64"/>
        <v>3</v>
      </c>
      <c r="AZ52" s="207">
        <f t="shared" si="61"/>
        <v>5</v>
      </c>
      <c r="BA52" s="38">
        <f t="shared" si="58"/>
        <v>0</v>
      </c>
      <c r="BB52" s="25">
        <f t="shared" si="59"/>
        <v>-3</v>
      </c>
      <c r="BC52" s="167">
        <f t="shared" si="60"/>
        <v>-1</v>
      </c>
    </row>
    <row r="53" spans="1:55" ht="12.75">
      <c r="A53" t="s">
        <v>229</v>
      </c>
      <c r="B53" s="79">
        <v>50</v>
      </c>
      <c r="C53" s="5" t="s">
        <v>97</v>
      </c>
      <c r="D53" s="6" t="s">
        <v>230</v>
      </c>
      <c r="E53" s="17" t="s">
        <v>231</v>
      </c>
      <c r="F53" s="10">
        <v>168</v>
      </c>
      <c r="G53" s="67">
        <f>VLOOKUP($A53,HH_Jobs_CorridorLength!$A$2:$F$116,5,FALSE)</f>
        <v>585.3424073821984</v>
      </c>
      <c r="H53" s="62">
        <f t="shared" si="33"/>
        <v>0</v>
      </c>
      <c r="I53" s="67">
        <f>VLOOKUP($A53,HH_Jobs_CorridorLength!$A$2:$F$116,6,FALSE)</f>
        <v>500.82543982427165</v>
      </c>
      <c r="J53" s="62">
        <f t="shared" si="34"/>
        <v>0</v>
      </c>
      <c r="K53" s="319">
        <f>VLOOKUP(A53,Low_Income_Minority!$A$3:$J$115,8,FALSE)</f>
        <v>0.7010271900706178</v>
      </c>
      <c r="L53" s="60">
        <f>IF(Minority&gt;=Minority_Thrshld,Min_Pts,0)</f>
        <v>5</v>
      </c>
      <c r="M53" s="321">
        <f>VLOOKUP(A53,Low_Income_Minority!$A$3:$J$115,10,FALSE)</f>
        <v>0.7282175233359274</v>
      </c>
      <c r="N53" s="61">
        <f t="shared" si="35"/>
        <v>5</v>
      </c>
      <c r="O53" s="57" t="str">
        <f>VLOOKUP(A53,Primary_Connections_To_Centers!$A$3:$K$116,9,FALSE)</f>
        <v>Yes</v>
      </c>
      <c r="P53" s="60">
        <f t="shared" si="36"/>
        <v>5</v>
      </c>
      <c r="Q53" s="38" t="str">
        <f>VLOOKUP(A53,Primary_Connections_To_Centers!$A$3:$K$116,10,FALSE)</f>
        <v>No</v>
      </c>
      <c r="R53" s="60">
        <f t="shared" si="37"/>
        <v>0</v>
      </c>
      <c r="S53" s="65">
        <f t="shared" si="38"/>
        <v>15</v>
      </c>
      <c r="T53" s="65"/>
      <c r="U53" s="73"/>
      <c r="V53" s="64">
        <f t="shared" si="39"/>
        <v>30</v>
      </c>
      <c r="W53" s="64">
        <f t="shared" si="40"/>
        <v>30</v>
      </c>
      <c r="X53" s="64">
        <f t="shared" si="41"/>
        <v>0</v>
      </c>
      <c r="Y53" s="38">
        <f>VLOOKUP(A53,Step_II_Load_CostRecovery_Sum!$A$5:$T$117,14,FALSE)</f>
        <v>0.46</v>
      </c>
      <c r="Z53" s="167">
        <f>VLOOKUP($A53,Step_II_Load_CostRecovery_Sum!$A$5:$T$117,15,FALSE)</f>
        <v>0.64</v>
      </c>
      <c r="AA53" s="38">
        <f t="shared" si="42"/>
        <v>0</v>
      </c>
      <c r="AB53" s="167">
        <f t="shared" si="43"/>
        <v>0</v>
      </c>
      <c r="AC53" s="288">
        <f>VLOOKUP($A53,Step_II_Load_CostRecovery_Sum!$A$5:$AE$117,29,FALSE)</f>
        <v>0.14114178168130492</v>
      </c>
      <c r="AD53" s="289">
        <f>VLOOKUP($A53,Step_II_Load_CostRecovery_Sum!$A$5:$AE$117,30,FALSE)</f>
        <v>0.1211935382685069</v>
      </c>
      <c r="AE53" s="290">
        <f>VLOOKUP($A53,Step_II_Load_CostRecovery_Sum!$A$5:$AE$117,31,FALSE)</f>
        <v>0.11458437892095358</v>
      </c>
      <c r="AF53" s="38">
        <f t="shared" si="44"/>
        <v>0</v>
      </c>
      <c r="AG53" s="25">
        <f t="shared" si="45"/>
        <v>0</v>
      </c>
      <c r="AH53" s="167">
        <f t="shared" si="46"/>
        <v>0</v>
      </c>
      <c r="AI53" s="38">
        <f t="shared" si="47"/>
        <v>0</v>
      </c>
      <c r="AJ53" s="170">
        <f t="shared" si="48"/>
        <v>60</v>
      </c>
      <c r="AK53" s="25">
        <f t="shared" si="49"/>
        <v>0</v>
      </c>
      <c r="AL53" s="167">
        <f t="shared" si="50"/>
        <v>60</v>
      </c>
      <c r="AN53" s="220">
        <f t="shared" si="51"/>
        <v>0</v>
      </c>
      <c r="AO53" s="26">
        <f t="shared" si="52"/>
        <v>0</v>
      </c>
      <c r="AP53" s="209">
        <f t="shared" si="53"/>
        <v>0</v>
      </c>
      <c r="AQ53" s="38">
        <f t="shared" si="54"/>
        <v>30</v>
      </c>
      <c r="AR53" s="25">
        <f t="shared" si="55"/>
        <v>30</v>
      </c>
      <c r="AS53" s="170">
        <f t="shared" si="56"/>
        <v>60</v>
      </c>
      <c r="AT53" s="253" t="str">
        <f t="shared" si="57"/>
        <v>Local</v>
      </c>
      <c r="AU53" s="251">
        <v>3</v>
      </c>
      <c r="AV53" s="41">
        <v>3</v>
      </c>
      <c r="AW53" s="207">
        <v>5</v>
      </c>
      <c r="AX53" s="175">
        <f t="shared" si="64"/>
        <v>3</v>
      </c>
      <c r="AY53" s="41">
        <f t="shared" si="64"/>
        <v>3</v>
      </c>
      <c r="AZ53" s="207">
        <f t="shared" si="61"/>
        <v>5</v>
      </c>
      <c r="BA53" s="38">
        <f t="shared" si="58"/>
        <v>0</v>
      </c>
      <c r="BB53" s="25">
        <f t="shared" si="59"/>
        <v>0</v>
      </c>
      <c r="BC53" s="167">
        <f t="shared" si="60"/>
        <v>0</v>
      </c>
    </row>
    <row r="54" spans="1:55" ht="12.75">
      <c r="A54" t="s">
        <v>173</v>
      </c>
      <c r="B54" s="79">
        <v>51</v>
      </c>
      <c r="C54" s="5" t="s">
        <v>97</v>
      </c>
      <c r="D54" s="6" t="s">
        <v>45</v>
      </c>
      <c r="E54" s="17" t="s">
        <v>174</v>
      </c>
      <c r="F54" s="9" t="s">
        <v>175</v>
      </c>
      <c r="G54" s="67">
        <f>VLOOKUP($A54,HH_Jobs_CorridorLength!$A$2:$F$116,5,FALSE)</f>
        <v>804.3002876425948</v>
      </c>
      <c r="H54" s="62">
        <f t="shared" si="33"/>
        <v>0</v>
      </c>
      <c r="I54" s="67">
        <f>VLOOKUP($A54,HH_Jobs_CorridorLength!$A$2:$F$116,6,FALSE)</f>
        <v>621.2310397814471</v>
      </c>
      <c r="J54" s="62">
        <f t="shared" si="34"/>
        <v>0</v>
      </c>
      <c r="K54" s="319">
        <f>VLOOKUP(A54,Low_Income_Minority!$A$3:$J$115,8,FALSE)</f>
        <v>0.9148341636874725</v>
      </c>
      <c r="L54" s="60">
        <f>IF(Minority&gt;=Minority_Thrshld,Min_Pts,0)</f>
        <v>5</v>
      </c>
      <c r="M54" s="321">
        <f>VLOOKUP(A54,Low_Income_Minority!$A$3:$J$115,10,FALSE)</f>
        <v>0.8935730776100637</v>
      </c>
      <c r="N54" s="61">
        <f t="shared" si="35"/>
        <v>5</v>
      </c>
      <c r="O54" s="57" t="str">
        <f>VLOOKUP(A54,Primary_Connections_To_Centers!$A$3:$K$116,9,FALSE)</f>
        <v>Yes</v>
      </c>
      <c r="P54" s="60">
        <f t="shared" si="36"/>
        <v>5</v>
      </c>
      <c r="Q54" s="38" t="str">
        <f>VLOOKUP(A54,Primary_Connections_To_Centers!$A$3:$K$116,10,FALSE)</f>
        <v>No</v>
      </c>
      <c r="R54" s="60">
        <f t="shared" si="37"/>
        <v>0</v>
      </c>
      <c r="S54" s="65">
        <f t="shared" si="38"/>
        <v>15</v>
      </c>
      <c r="T54" s="65"/>
      <c r="U54" s="73"/>
      <c r="V54" s="64">
        <f t="shared" si="39"/>
        <v>30</v>
      </c>
      <c r="W54" s="64">
        <f t="shared" si="40"/>
        <v>30</v>
      </c>
      <c r="X54" s="64">
        <f t="shared" si="41"/>
        <v>0</v>
      </c>
      <c r="Y54" s="38">
        <f>VLOOKUP(A54,Step_II_Load_CostRecovery_Sum!$A$5:$T$117,14,FALSE)</f>
        <v>0.67</v>
      </c>
      <c r="Z54" s="167">
        <f>VLOOKUP($A54,Step_II_Load_CostRecovery_Sum!$A$5:$T$117,15,FALSE)</f>
        <v>0.59</v>
      </c>
      <c r="AA54" s="38">
        <f t="shared" si="42"/>
        <v>0</v>
      </c>
      <c r="AB54" s="167">
        <f t="shared" si="43"/>
        <v>0</v>
      </c>
      <c r="AC54" s="288">
        <f>VLOOKUP($A54,Step_II_Load_CostRecovery_Sum!$A$5:$AE$117,29,FALSE)</f>
        <v>0.3015181932245923</v>
      </c>
      <c r="AD54" s="289">
        <f>VLOOKUP($A54,Step_II_Load_CostRecovery_Sum!$A$5:$AE$117,30,FALSE)</f>
        <v>0.30640370138017564</v>
      </c>
      <c r="AE54" s="290">
        <f>VLOOKUP($A54,Step_II_Load_CostRecovery_Sum!$A$5:$AE$117,31,FALSE)</f>
        <v>0.1560069008782936</v>
      </c>
      <c r="AF54" s="38">
        <f t="shared" si="44"/>
        <v>0</v>
      </c>
      <c r="AG54" s="25">
        <f t="shared" si="45"/>
        <v>0</v>
      </c>
      <c r="AH54" s="167">
        <f t="shared" si="46"/>
        <v>0</v>
      </c>
      <c r="AI54" s="38">
        <f t="shared" si="47"/>
        <v>0</v>
      </c>
      <c r="AJ54" s="170">
        <f t="shared" si="48"/>
        <v>60</v>
      </c>
      <c r="AK54" s="25">
        <f t="shared" si="49"/>
        <v>0</v>
      </c>
      <c r="AL54" s="167">
        <f t="shared" si="50"/>
        <v>60</v>
      </c>
      <c r="AN54" s="220">
        <f t="shared" si="51"/>
        <v>0</v>
      </c>
      <c r="AO54" s="26">
        <f t="shared" si="52"/>
        <v>0</v>
      </c>
      <c r="AP54" s="209">
        <f t="shared" si="53"/>
        <v>0</v>
      </c>
      <c r="AQ54" s="38">
        <f t="shared" si="54"/>
        <v>30</v>
      </c>
      <c r="AR54" s="25">
        <f t="shared" si="55"/>
        <v>30</v>
      </c>
      <c r="AS54" s="170">
        <f t="shared" si="56"/>
        <v>60</v>
      </c>
      <c r="AT54" s="253" t="str">
        <f t="shared" si="57"/>
        <v>Local</v>
      </c>
      <c r="AU54" s="251">
        <v>3</v>
      </c>
      <c r="AV54" s="41">
        <v>3</v>
      </c>
      <c r="AW54" s="207">
        <v>5</v>
      </c>
      <c r="AX54" s="175">
        <f t="shared" si="64"/>
        <v>3</v>
      </c>
      <c r="AY54" s="41">
        <f t="shared" si="64"/>
        <v>3</v>
      </c>
      <c r="AZ54" s="207">
        <f t="shared" si="61"/>
        <v>5</v>
      </c>
      <c r="BA54" s="38">
        <f t="shared" si="58"/>
        <v>0</v>
      </c>
      <c r="BB54" s="25">
        <f t="shared" si="59"/>
        <v>0</v>
      </c>
      <c r="BC54" s="167">
        <f t="shared" si="60"/>
        <v>0</v>
      </c>
    </row>
    <row r="55" spans="1:55" ht="12.75">
      <c r="A55" t="s">
        <v>170</v>
      </c>
      <c r="B55" s="79">
        <v>52</v>
      </c>
      <c r="C55" s="5" t="s">
        <v>171</v>
      </c>
      <c r="D55" s="6" t="s">
        <v>98</v>
      </c>
      <c r="E55" s="17" t="s">
        <v>172</v>
      </c>
      <c r="F55" s="7">
        <v>148</v>
      </c>
      <c r="G55" s="67">
        <f>VLOOKUP($A55,HH_Jobs_CorridorLength!$A$2:$F$116,5,FALSE)</f>
        <v>636.3517060367454</v>
      </c>
      <c r="H55" s="62">
        <f t="shared" si="33"/>
        <v>0</v>
      </c>
      <c r="I55" s="67">
        <f>VLOOKUP($A55,HH_Jobs_CorridorLength!$A$2:$F$116,6,FALSE)</f>
        <v>691.6010498687664</v>
      </c>
      <c r="J55" s="62">
        <f t="shared" si="34"/>
        <v>0</v>
      </c>
      <c r="K55" s="319">
        <f>VLOOKUP(A55,Low_Income_Minority!$A$3:$J$115,8,FALSE)</f>
        <v>0.9952879581539771</v>
      </c>
      <c r="L55" s="60">
        <f>IF(Minority&gt;=Minority_Thrshld,Min_Pts,0)</f>
        <v>5</v>
      </c>
      <c r="M55" s="321">
        <f>VLOOKUP(A55,Low_Income_Minority!$A$3:$J$115,10,FALSE)</f>
        <v>0.6942408370452849</v>
      </c>
      <c r="N55" s="61">
        <f t="shared" si="35"/>
        <v>5</v>
      </c>
      <c r="O55" s="57" t="str">
        <f>VLOOKUP(A55,Primary_Connections_To_Centers!$A$3:$K$116,9,FALSE)</f>
        <v>Yes</v>
      </c>
      <c r="P55" s="60">
        <f t="shared" si="36"/>
        <v>5</v>
      </c>
      <c r="Q55" s="38" t="str">
        <f>VLOOKUP(A55,Primary_Connections_To_Centers!$A$3:$K$116,10,FALSE)</f>
        <v>No</v>
      </c>
      <c r="R55" s="60">
        <f t="shared" si="37"/>
        <v>0</v>
      </c>
      <c r="S55" s="65">
        <f t="shared" si="38"/>
        <v>15</v>
      </c>
      <c r="T55" s="65"/>
      <c r="U55" s="73"/>
      <c r="V55" s="64">
        <f t="shared" si="39"/>
        <v>30</v>
      </c>
      <c r="W55" s="64">
        <f t="shared" si="40"/>
        <v>30</v>
      </c>
      <c r="X55" s="64">
        <f t="shared" si="41"/>
        <v>0</v>
      </c>
      <c r="Y55" s="38">
        <f>VLOOKUP(A55,Step_II_Load_CostRecovery_Sum!$A$5:$T$117,14,FALSE)</f>
        <v>0.51</v>
      </c>
      <c r="Z55" s="167">
        <f>VLOOKUP($A55,Step_II_Load_CostRecovery_Sum!$A$5:$T$117,15,FALSE)</f>
        <v>0.46</v>
      </c>
      <c r="AA55" s="38">
        <f t="shared" si="42"/>
        <v>0</v>
      </c>
      <c r="AB55" s="167">
        <f t="shared" si="43"/>
        <v>0</v>
      </c>
      <c r="AC55" s="288">
        <f>VLOOKUP($A55,Step_II_Load_CostRecovery_Sum!$A$5:$AE$117,29,FALSE)</f>
        <v>0.23898368883312426</v>
      </c>
      <c r="AD55" s="289">
        <f>VLOOKUP($A55,Step_II_Load_CostRecovery_Sum!$A$5:$AE$117,30,FALSE)</f>
        <v>0.18467220828105396</v>
      </c>
      <c r="AE55" s="290">
        <f>VLOOKUP($A55,Step_II_Load_CostRecovery_Sum!$A$5:$AE$117,31,FALSE)</f>
        <v>0.10505489335006274</v>
      </c>
      <c r="AF55" s="38">
        <f t="shared" si="44"/>
        <v>0</v>
      </c>
      <c r="AG55" s="25">
        <f t="shared" si="45"/>
        <v>0</v>
      </c>
      <c r="AH55" s="167">
        <f t="shared" si="46"/>
        <v>0</v>
      </c>
      <c r="AI55" s="38">
        <f t="shared" si="47"/>
        <v>0</v>
      </c>
      <c r="AJ55" s="170">
        <f t="shared" si="48"/>
        <v>60</v>
      </c>
      <c r="AK55" s="25">
        <f t="shared" si="49"/>
        <v>0</v>
      </c>
      <c r="AL55" s="167">
        <f t="shared" si="50"/>
        <v>60</v>
      </c>
      <c r="AN55" s="220">
        <f t="shared" si="51"/>
        <v>0</v>
      </c>
      <c r="AO55" s="26">
        <f t="shared" si="52"/>
        <v>0</v>
      </c>
      <c r="AP55" s="209">
        <f t="shared" si="53"/>
        <v>0</v>
      </c>
      <c r="AQ55" s="38">
        <f t="shared" si="54"/>
        <v>30</v>
      </c>
      <c r="AR55" s="25">
        <f t="shared" si="55"/>
        <v>30</v>
      </c>
      <c r="AS55" s="170">
        <f t="shared" si="56"/>
        <v>60</v>
      </c>
      <c r="AT55" s="253" t="str">
        <f t="shared" si="57"/>
        <v>Local</v>
      </c>
      <c r="AU55" s="251">
        <v>3</v>
      </c>
      <c r="AV55" s="41">
        <v>3</v>
      </c>
      <c r="AW55" s="207">
        <v>5</v>
      </c>
      <c r="AX55" s="175">
        <f t="shared" si="64"/>
        <v>3</v>
      </c>
      <c r="AY55" s="41">
        <f t="shared" si="64"/>
        <v>3</v>
      </c>
      <c r="AZ55" s="207">
        <f t="shared" si="61"/>
        <v>5</v>
      </c>
      <c r="BA55" s="38">
        <f t="shared" si="58"/>
        <v>0</v>
      </c>
      <c r="BB55" s="25">
        <f t="shared" si="59"/>
        <v>0</v>
      </c>
      <c r="BC55" s="167">
        <f t="shared" si="60"/>
        <v>0</v>
      </c>
    </row>
    <row r="56" spans="1:55" ht="12.75">
      <c r="A56" t="s">
        <v>167</v>
      </c>
      <c r="B56" s="79">
        <v>53</v>
      </c>
      <c r="C56" s="5" t="s">
        <v>168</v>
      </c>
      <c r="D56" s="6" t="s">
        <v>97</v>
      </c>
      <c r="E56" s="17" t="s">
        <v>169</v>
      </c>
      <c r="F56" s="7">
        <v>164</v>
      </c>
      <c r="G56" s="67">
        <f>VLOOKUP($A56,HH_Jobs_CorridorLength!$A$2:$F$116,5,FALSE)</f>
        <v>919.2938209331652</v>
      </c>
      <c r="H56" s="62">
        <f t="shared" si="33"/>
        <v>0</v>
      </c>
      <c r="I56" s="67">
        <f>VLOOKUP($A56,HH_Jobs_CorridorLength!$A$2:$F$116,6,FALSE)</f>
        <v>590.7944514501892</v>
      </c>
      <c r="J56" s="62">
        <f t="shared" si="34"/>
        <v>0</v>
      </c>
      <c r="K56" s="319">
        <f>VLOOKUP(A56,Low_Income_Minority!$A$3:$J$115,8,FALSE)</f>
        <v>0.6252859893643589</v>
      </c>
      <c r="L56" s="60">
        <f>IF(Minority&gt;=Minority_Thrshld,Min_Pts,0)</f>
        <v>5</v>
      </c>
      <c r="M56" s="321">
        <f>VLOOKUP(A56,Low_Income_Minority!$A$3:$J$115,10,FALSE)</f>
        <v>0.8487018800916704</v>
      </c>
      <c r="N56" s="61">
        <f t="shared" si="35"/>
        <v>5</v>
      </c>
      <c r="O56" s="57" t="str">
        <f>VLOOKUP(A56,Primary_Connections_To_Centers!$A$3:$K$116,9,FALSE)</f>
        <v>Yes</v>
      </c>
      <c r="P56" s="60">
        <f t="shared" si="36"/>
        <v>5</v>
      </c>
      <c r="Q56" s="38" t="str">
        <f>VLOOKUP(A56,Primary_Connections_To_Centers!$A$3:$K$116,10,FALSE)</f>
        <v>No</v>
      </c>
      <c r="R56" s="60">
        <f t="shared" si="37"/>
        <v>0</v>
      </c>
      <c r="S56" s="65">
        <f t="shared" si="38"/>
        <v>15</v>
      </c>
      <c r="T56" s="65"/>
      <c r="U56" s="73"/>
      <c r="V56" s="64">
        <f t="shared" si="39"/>
        <v>30</v>
      </c>
      <c r="W56" s="64">
        <f t="shared" si="40"/>
        <v>30</v>
      </c>
      <c r="X56" s="64">
        <f t="shared" si="41"/>
        <v>0</v>
      </c>
      <c r="Y56" s="38">
        <f>VLOOKUP(A56,Step_II_Load_CostRecovery_Sum!$A$5:$T$117,14,FALSE)</f>
        <v>0.42</v>
      </c>
      <c r="Z56" s="167">
        <f>VLOOKUP($A56,Step_II_Load_CostRecovery_Sum!$A$5:$T$117,15,FALSE)</f>
        <v>0.76</v>
      </c>
      <c r="AA56" s="38">
        <f t="shared" si="42"/>
        <v>0</v>
      </c>
      <c r="AB56" s="167">
        <f t="shared" si="43"/>
        <v>0</v>
      </c>
      <c r="AC56" s="288">
        <f>VLOOKUP($A56,Step_II_Load_CostRecovery_Sum!$A$5:$AE$117,29,FALSE)</f>
        <v>0.22818067754077795</v>
      </c>
      <c r="AD56" s="289">
        <f>VLOOKUP($A56,Step_II_Load_CostRecovery_Sum!$A$5:$AE$117,30,FALSE)</f>
        <v>0.19589240903387703</v>
      </c>
      <c r="AE56" s="290">
        <f>VLOOKUP($A56,Step_II_Load_CostRecovery_Sum!$A$5:$AE$117,31,FALSE)</f>
        <v>0.17537327478042658</v>
      </c>
      <c r="AF56" s="38">
        <f t="shared" si="44"/>
        <v>0</v>
      </c>
      <c r="AG56" s="25">
        <f t="shared" si="45"/>
        <v>0</v>
      </c>
      <c r="AH56" s="167">
        <f t="shared" si="46"/>
        <v>0</v>
      </c>
      <c r="AI56" s="38">
        <f t="shared" si="47"/>
        <v>0</v>
      </c>
      <c r="AJ56" s="170">
        <f t="shared" si="48"/>
        <v>30</v>
      </c>
      <c r="AK56" s="25">
        <f t="shared" si="49"/>
        <v>0</v>
      </c>
      <c r="AL56" s="167">
        <f t="shared" si="50"/>
        <v>30</v>
      </c>
      <c r="AN56" s="220">
        <f t="shared" si="51"/>
        <v>0</v>
      </c>
      <c r="AO56" s="26">
        <f t="shared" si="52"/>
        <v>0</v>
      </c>
      <c r="AP56" s="209">
        <f t="shared" si="53"/>
        <v>0</v>
      </c>
      <c r="AQ56" s="38">
        <f t="shared" si="54"/>
        <v>30</v>
      </c>
      <c r="AR56" s="25">
        <f t="shared" si="55"/>
        <v>30</v>
      </c>
      <c r="AS56" s="170">
        <f t="shared" si="56"/>
        <v>30</v>
      </c>
      <c r="AT56" s="253" t="str">
        <f t="shared" si="57"/>
        <v>Local</v>
      </c>
      <c r="AU56" s="251">
        <v>3</v>
      </c>
      <c r="AV56" s="41">
        <v>3</v>
      </c>
      <c r="AW56" s="207">
        <v>5</v>
      </c>
      <c r="AX56" s="175">
        <f t="shared" si="64"/>
        <v>3</v>
      </c>
      <c r="AY56" s="41">
        <f t="shared" si="64"/>
        <v>3</v>
      </c>
      <c r="AZ56" s="207">
        <f t="shared" si="61"/>
        <v>3</v>
      </c>
      <c r="BA56" s="38">
        <f t="shared" si="58"/>
        <v>0</v>
      </c>
      <c r="BB56" s="25">
        <f t="shared" si="59"/>
        <v>0</v>
      </c>
      <c r="BC56" s="167">
        <f t="shared" si="60"/>
        <v>-2</v>
      </c>
    </row>
    <row r="57" spans="1:55" ht="12.75">
      <c r="A57" t="s">
        <v>147</v>
      </c>
      <c r="B57" s="79">
        <v>54</v>
      </c>
      <c r="C57" s="5" t="s">
        <v>148</v>
      </c>
      <c r="D57" s="6" t="s">
        <v>4</v>
      </c>
      <c r="E57" s="17" t="s">
        <v>149</v>
      </c>
      <c r="F57" s="7">
        <v>33</v>
      </c>
      <c r="G57" s="67">
        <f>VLOOKUP($A57,HH_Jobs_CorridorLength!$A$2:$F$116,5,FALSE)</f>
        <v>2253.6130536130536</v>
      </c>
      <c r="H57" s="62">
        <f t="shared" si="33"/>
        <v>7</v>
      </c>
      <c r="I57" s="67">
        <f>VLOOKUP($A57,HH_Jobs_CorridorLength!$A$2:$F$116,6,FALSE)</f>
        <v>14029.254079254079</v>
      </c>
      <c r="J57" s="62">
        <f t="shared" si="34"/>
        <v>7</v>
      </c>
      <c r="K57" s="319">
        <f>VLOOKUP(A57,Low_Income_Minority!$A$3:$J$115,8,FALSE)</f>
        <v>0</v>
      </c>
      <c r="L57" s="60">
        <f>IF(Minority&gt;=Minority_Thrshld,Min_Pts,0)</f>
        <v>0</v>
      </c>
      <c r="M57" s="321">
        <f>VLOOKUP(A57,Low_Income_Minority!$A$3:$J$115,10,FALSE)</f>
        <v>0.3791643146848683</v>
      </c>
      <c r="N57" s="61">
        <f t="shared" si="35"/>
        <v>0</v>
      </c>
      <c r="O57" s="57" t="str">
        <f>VLOOKUP(A57,Primary_Connections_To_Centers!$A$3:$K$116,9,FALSE)</f>
        <v>No</v>
      </c>
      <c r="P57" s="60">
        <f t="shared" si="36"/>
        <v>0</v>
      </c>
      <c r="Q57" s="38" t="str">
        <f>VLOOKUP(A57,Primary_Connections_To_Centers!$A$3:$K$116,10,FALSE)</f>
        <v>No</v>
      </c>
      <c r="R57" s="60">
        <f t="shared" si="37"/>
        <v>0</v>
      </c>
      <c r="S57" s="65">
        <f t="shared" si="38"/>
        <v>14</v>
      </c>
      <c r="T57" s="65"/>
      <c r="U57" s="73"/>
      <c r="V57" s="64">
        <f t="shared" si="39"/>
        <v>30</v>
      </c>
      <c r="W57" s="64">
        <f t="shared" si="40"/>
        <v>30</v>
      </c>
      <c r="X57" s="64">
        <f t="shared" si="41"/>
        <v>0</v>
      </c>
      <c r="Y57" s="38">
        <f>VLOOKUP(A57,Step_II_Load_CostRecovery_Sum!$A$5:$T$117,14,FALSE)</f>
        <v>1.37</v>
      </c>
      <c r="Z57" s="167">
        <f>VLOOKUP($A57,Step_II_Load_CostRecovery_Sum!$A$5:$T$117,15,FALSE)</f>
        <v>0.32</v>
      </c>
      <c r="AA57" s="38">
        <f t="shared" si="42"/>
        <v>1</v>
      </c>
      <c r="AB57" s="167">
        <f t="shared" si="43"/>
        <v>0</v>
      </c>
      <c r="AC57" s="288">
        <f>VLOOKUP($A57,Step_II_Load_CostRecovery_Sum!$A$5:$AE$117,29,FALSE)</f>
        <v>0.4781430363864492</v>
      </c>
      <c r="AD57" s="289">
        <f>VLOOKUP($A57,Step_II_Load_CostRecovery_Sum!$A$5:$AE$117,30,FALSE)</f>
        <v>0.12780269761606022</v>
      </c>
      <c r="AE57" s="290">
        <f>VLOOKUP($A57,Step_II_Load_CostRecovery_Sum!$A$5:$AE$117,31,FALSE)</f>
        <v>0.11965652446675032</v>
      </c>
      <c r="AF57" s="38">
        <f t="shared" si="44"/>
        <v>0</v>
      </c>
      <c r="AG57" s="25">
        <f t="shared" si="45"/>
        <v>0</v>
      </c>
      <c r="AH57" s="167">
        <f t="shared" si="46"/>
        <v>0</v>
      </c>
      <c r="AI57" s="38">
        <f t="shared" si="47"/>
        <v>0</v>
      </c>
      <c r="AJ57" s="170">
        <f t="shared" si="48"/>
        <v>60</v>
      </c>
      <c r="AK57" s="25">
        <f t="shared" si="49"/>
        <v>30</v>
      </c>
      <c r="AL57" s="167">
        <f t="shared" si="50"/>
        <v>30</v>
      </c>
      <c r="AN57" s="220">
        <f t="shared" si="51"/>
        <v>1</v>
      </c>
      <c r="AO57" s="26">
        <f t="shared" si="52"/>
        <v>0</v>
      </c>
      <c r="AP57" s="209">
        <f t="shared" si="53"/>
        <v>0</v>
      </c>
      <c r="AQ57" s="38">
        <f t="shared" si="54"/>
        <v>15</v>
      </c>
      <c r="AR57" s="25">
        <f t="shared" si="55"/>
        <v>30</v>
      </c>
      <c r="AS57" s="170">
        <f t="shared" si="56"/>
        <v>30</v>
      </c>
      <c r="AT57" s="253" t="str">
        <f t="shared" si="57"/>
        <v>Frequent</v>
      </c>
      <c r="AU57" s="251">
        <v>3</v>
      </c>
      <c r="AV57" s="41">
        <v>4</v>
      </c>
      <c r="AW57" s="207">
        <v>4</v>
      </c>
      <c r="AX57" s="175">
        <f aca="true" t="shared" si="65" ref="AX57:AY62">IF(AQ57="Better than 15 min",1,IF(AQ57=15,2,IF(AQ57=30,3,IF(AQ57=60,5,6))))</f>
        <v>2</v>
      </c>
      <c r="AY57" s="41">
        <f t="shared" si="65"/>
        <v>3</v>
      </c>
      <c r="AZ57" s="207">
        <f t="shared" si="61"/>
        <v>3</v>
      </c>
      <c r="BA57" s="38">
        <f t="shared" si="58"/>
        <v>-1</v>
      </c>
      <c r="BB57" s="25">
        <f t="shared" si="59"/>
        <v>-1</v>
      </c>
      <c r="BC57" s="167">
        <f t="shared" si="60"/>
        <v>-1</v>
      </c>
    </row>
    <row r="58" spans="1:55" ht="12.75">
      <c r="A58" t="s">
        <v>145</v>
      </c>
      <c r="B58" s="79">
        <v>55</v>
      </c>
      <c r="C58" s="5" t="s">
        <v>105</v>
      </c>
      <c r="D58" s="6" t="s">
        <v>21</v>
      </c>
      <c r="E58" s="17" t="s">
        <v>146</v>
      </c>
      <c r="F58" s="7">
        <v>65</v>
      </c>
      <c r="G58" s="67">
        <f>VLOOKUP($A58,HH_Jobs_CorridorLength!$A$2:$F$116,5,FALSE)</f>
        <v>1427.4231678486997</v>
      </c>
      <c r="H58" s="62">
        <f t="shared" si="33"/>
        <v>4</v>
      </c>
      <c r="I58" s="67">
        <f>VLOOKUP($A58,HH_Jobs_CorridorLength!$A$2:$F$116,6,FALSE)</f>
        <v>3711.111111111111</v>
      </c>
      <c r="J58" s="62">
        <f t="shared" si="34"/>
        <v>0</v>
      </c>
      <c r="K58" s="319">
        <f>VLOOKUP(A58,Low_Income_Minority!$A$3:$J$115,8,FALSE)</f>
        <v>0.4804126321696735</v>
      </c>
      <c r="L58" s="60">
        <f>IF(Minority&gt;=Minority_Thrshld,Min_Pts,0)</f>
        <v>0</v>
      </c>
      <c r="M58" s="321">
        <f>VLOOKUP(A58,Low_Income_Minority!$A$3:$J$115,10,FALSE)</f>
        <v>0.6403392186870904</v>
      </c>
      <c r="N58" s="61">
        <f t="shared" si="35"/>
        <v>5</v>
      </c>
      <c r="O58" s="57" t="str">
        <f>VLOOKUP(A58,Primary_Connections_To_Centers!$A$3:$K$116,9,FALSE)</f>
        <v>Yes</v>
      </c>
      <c r="P58" s="60">
        <f t="shared" si="36"/>
        <v>5</v>
      </c>
      <c r="Q58" s="38" t="str">
        <f>VLOOKUP(A58,Primary_Connections_To_Centers!$A$3:$K$116,10,FALSE)</f>
        <v>No</v>
      </c>
      <c r="R58" s="60">
        <f t="shared" si="37"/>
        <v>0</v>
      </c>
      <c r="S58" s="65">
        <f t="shared" si="38"/>
        <v>14</v>
      </c>
      <c r="T58" s="65"/>
      <c r="U58" s="73"/>
      <c r="V58" s="64">
        <f t="shared" si="39"/>
        <v>30</v>
      </c>
      <c r="W58" s="64">
        <f t="shared" si="40"/>
        <v>30</v>
      </c>
      <c r="X58" s="64">
        <f t="shared" si="41"/>
        <v>0</v>
      </c>
      <c r="Y58" s="38">
        <f>VLOOKUP(A58,Step_II_Load_CostRecovery_Sum!$A$5:$T$117,14,FALSE)</f>
        <v>1.38</v>
      </c>
      <c r="Z58" s="167">
        <f>VLOOKUP($A58,Step_II_Load_CostRecovery_Sum!$A$5:$T$117,15,FALSE)</f>
        <v>0.59</v>
      </c>
      <c r="AA58" s="38">
        <f t="shared" si="42"/>
        <v>1</v>
      </c>
      <c r="AB58" s="167">
        <f t="shared" si="43"/>
        <v>0</v>
      </c>
      <c r="AC58" s="288">
        <f>VLOOKUP($A58,Step_II_Load_CostRecovery_Sum!$A$5:$AE$117,29,FALSE)</f>
        <v>0.8171643663739023</v>
      </c>
      <c r="AD58" s="289">
        <f>VLOOKUP($A58,Step_II_Load_CostRecovery_Sum!$A$5:$AE$117,30,FALSE)</f>
        <v>0.30386762860727734</v>
      </c>
      <c r="AE58" s="290">
        <f>VLOOKUP($A58,Step_II_Load_CostRecovery_Sum!$A$5:$AE$117,31,FALSE)</f>
        <v>0.17191499372647429</v>
      </c>
      <c r="AF58" s="38">
        <f t="shared" si="44"/>
        <v>1</v>
      </c>
      <c r="AG58" s="25">
        <f t="shared" si="45"/>
        <v>0</v>
      </c>
      <c r="AH58" s="167">
        <f t="shared" si="46"/>
        <v>0</v>
      </c>
      <c r="AI58" s="38">
        <f t="shared" si="47"/>
        <v>0</v>
      </c>
      <c r="AJ58" s="170">
        <f t="shared" si="48"/>
        <v>30</v>
      </c>
      <c r="AK58" s="25">
        <f t="shared" si="49"/>
        <v>30</v>
      </c>
      <c r="AL58" s="167">
        <f t="shared" si="50"/>
        <v>30</v>
      </c>
      <c r="AN58" s="220">
        <f t="shared" si="51"/>
        <v>1</v>
      </c>
      <c r="AO58" s="26">
        <f t="shared" si="52"/>
        <v>0</v>
      </c>
      <c r="AP58" s="209">
        <f t="shared" si="53"/>
        <v>0</v>
      </c>
      <c r="AQ58" s="38">
        <f t="shared" si="54"/>
        <v>15</v>
      </c>
      <c r="AR58" s="25">
        <f t="shared" si="55"/>
        <v>30</v>
      </c>
      <c r="AS58" s="170">
        <f t="shared" si="56"/>
        <v>30</v>
      </c>
      <c r="AT58" s="253" t="str">
        <f t="shared" si="57"/>
        <v>Frequent</v>
      </c>
      <c r="AU58" s="251">
        <v>2</v>
      </c>
      <c r="AV58" s="41">
        <v>3</v>
      </c>
      <c r="AW58" s="207">
        <v>3</v>
      </c>
      <c r="AX58" s="175">
        <f t="shared" si="65"/>
        <v>2</v>
      </c>
      <c r="AY58" s="41">
        <f t="shared" si="65"/>
        <v>3</v>
      </c>
      <c r="AZ58" s="207">
        <f t="shared" si="61"/>
        <v>3</v>
      </c>
      <c r="BA58" s="38">
        <f t="shared" si="58"/>
        <v>0</v>
      </c>
      <c r="BB58" s="25">
        <f t="shared" si="59"/>
        <v>0</v>
      </c>
      <c r="BC58" s="167">
        <f t="shared" si="60"/>
        <v>0</v>
      </c>
    </row>
    <row r="59" spans="1:55" ht="12.75">
      <c r="A59" t="s">
        <v>200</v>
      </c>
      <c r="B59" s="79">
        <v>56</v>
      </c>
      <c r="C59" s="5" t="s">
        <v>201</v>
      </c>
      <c r="D59" s="6" t="s">
        <v>26</v>
      </c>
      <c r="E59" s="17" t="s">
        <v>202</v>
      </c>
      <c r="F59" s="6">
        <v>71</v>
      </c>
      <c r="G59" s="67">
        <f>VLOOKUP($A59,HH_Jobs_CorridorLength!$A$2:$F$116,5,FALSE)</f>
        <v>1249.9683823278926</v>
      </c>
      <c r="H59" s="62">
        <f t="shared" si="33"/>
        <v>4</v>
      </c>
      <c r="I59" s="67">
        <f>VLOOKUP($A59,HH_Jobs_CorridorLength!$A$2:$F$116,6,FALSE)</f>
        <v>409.55364633231557</v>
      </c>
      <c r="J59" s="62">
        <f t="shared" si="34"/>
        <v>0</v>
      </c>
      <c r="K59" s="319">
        <f>VLOOKUP(A59,Low_Income_Minority!$A$3:$J$115,8,FALSE)</f>
        <v>0.591160214867113</v>
      </c>
      <c r="L59" s="60">
        <f>IF(Minority&gt;=Minority_Thrshld,Min_Pts,0)</f>
        <v>5</v>
      </c>
      <c r="M59" s="321">
        <f>VLOOKUP(A59,Low_Income_Minority!$A$3:$J$115,10,FALSE)</f>
        <v>0.7922651901999904</v>
      </c>
      <c r="N59" s="61">
        <f t="shared" si="35"/>
        <v>5</v>
      </c>
      <c r="O59" s="57" t="str">
        <f>VLOOKUP(A59,Primary_Connections_To_Centers!$A$3:$K$116,9,FALSE)</f>
        <v>No</v>
      </c>
      <c r="P59" s="60">
        <f t="shared" si="36"/>
        <v>0</v>
      </c>
      <c r="Q59" s="38" t="str">
        <f>VLOOKUP(A59,Primary_Connections_To_Centers!$A$3:$K$116,10,FALSE)</f>
        <v>No</v>
      </c>
      <c r="R59" s="60">
        <f t="shared" si="37"/>
        <v>0</v>
      </c>
      <c r="S59" s="65">
        <f t="shared" si="38"/>
        <v>14</v>
      </c>
      <c r="T59" s="65"/>
      <c r="U59" s="73"/>
      <c r="V59" s="64">
        <f t="shared" si="39"/>
        <v>30</v>
      </c>
      <c r="W59" s="64">
        <f t="shared" si="40"/>
        <v>30</v>
      </c>
      <c r="X59" s="64">
        <f t="shared" si="41"/>
        <v>0</v>
      </c>
      <c r="Y59" s="38">
        <f>VLOOKUP(A59,Step_II_Load_CostRecovery_Sum!$A$5:$T$117,14,FALSE)</f>
        <v>0.69</v>
      </c>
      <c r="Z59" s="167">
        <f>VLOOKUP($A59,Step_II_Load_CostRecovery_Sum!$A$5:$T$117,15,FALSE)</f>
        <v>0.51</v>
      </c>
      <c r="AA59" s="38">
        <f t="shared" si="42"/>
        <v>0</v>
      </c>
      <c r="AB59" s="167">
        <f t="shared" si="43"/>
        <v>0</v>
      </c>
      <c r="AC59" s="288">
        <f>VLOOKUP($A59,Step_II_Load_CostRecovery_Sum!$A$5:$AE$117,29,FALSE)</f>
        <v>0.28404015056461734</v>
      </c>
      <c r="AD59" s="289">
        <f>VLOOKUP($A59,Step_II_Load_CostRecovery_Sum!$A$5:$AE$117,30,FALSE)</f>
        <v>0.2735116060225847</v>
      </c>
      <c r="AE59" s="290">
        <f>VLOOKUP($A59,Step_II_Load_CostRecovery_Sum!$A$5:$AE$117,31,FALSE)</f>
        <v>0.1785241530740276</v>
      </c>
      <c r="AF59" s="38">
        <f t="shared" si="44"/>
        <v>0</v>
      </c>
      <c r="AG59" s="25">
        <f t="shared" si="45"/>
        <v>0</v>
      </c>
      <c r="AH59" s="167">
        <f t="shared" si="46"/>
        <v>0</v>
      </c>
      <c r="AI59" s="38">
        <f t="shared" si="47"/>
        <v>0</v>
      </c>
      <c r="AJ59" s="170">
        <f t="shared" si="48"/>
        <v>30</v>
      </c>
      <c r="AK59" s="25">
        <f t="shared" si="49"/>
        <v>0</v>
      </c>
      <c r="AL59" s="167">
        <f t="shared" si="50"/>
        <v>30</v>
      </c>
      <c r="AN59" s="220">
        <f t="shared" si="51"/>
        <v>0</v>
      </c>
      <c r="AO59" s="26">
        <f t="shared" si="52"/>
        <v>0</v>
      </c>
      <c r="AP59" s="209">
        <f t="shared" si="53"/>
        <v>0</v>
      </c>
      <c r="AQ59" s="38">
        <f t="shared" si="54"/>
        <v>30</v>
      </c>
      <c r="AR59" s="25">
        <f t="shared" si="55"/>
        <v>30</v>
      </c>
      <c r="AS59" s="170">
        <f t="shared" si="56"/>
        <v>30</v>
      </c>
      <c r="AT59" s="253" t="str">
        <f t="shared" si="57"/>
        <v>Local</v>
      </c>
      <c r="AU59" s="251">
        <v>3</v>
      </c>
      <c r="AV59" s="41">
        <v>3</v>
      </c>
      <c r="AW59" s="207">
        <v>3</v>
      </c>
      <c r="AX59" s="175">
        <f t="shared" si="65"/>
        <v>3</v>
      </c>
      <c r="AY59" s="41">
        <f t="shared" si="65"/>
        <v>3</v>
      </c>
      <c r="AZ59" s="207">
        <f t="shared" si="61"/>
        <v>3</v>
      </c>
      <c r="BA59" s="38">
        <f t="shared" si="58"/>
        <v>0</v>
      </c>
      <c r="BB59" s="25">
        <f t="shared" si="59"/>
        <v>0</v>
      </c>
      <c r="BC59" s="167">
        <f t="shared" si="60"/>
        <v>0</v>
      </c>
    </row>
    <row r="60" spans="1:55" ht="12.75">
      <c r="A60" t="s">
        <v>140</v>
      </c>
      <c r="B60" s="79">
        <v>57</v>
      </c>
      <c r="C60" s="5" t="s">
        <v>141</v>
      </c>
      <c r="D60" s="6" t="s">
        <v>86</v>
      </c>
      <c r="E60" s="17" t="s">
        <v>142</v>
      </c>
      <c r="F60" s="7">
        <v>348</v>
      </c>
      <c r="G60" s="67">
        <f>VLOOKUP($A60,HH_Jobs_CorridorLength!$A$2:$F$116,5,FALSE)</f>
        <v>1188.4495317377732</v>
      </c>
      <c r="H60" s="62">
        <f t="shared" si="33"/>
        <v>4</v>
      </c>
      <c r="I60" s="67">
        <f>VLOOKUP($A60,HH_Jobs_CorridorLength!$A$2:$F$116,6,FALSE)</f>
        <v>1040.270551508845</v>
      </c>
      <c r="J60" s="62">
        <f t="shared" si="34"/>
        <v>0</v>
      </c>
      <c r="K60" s="319">
        <f>VLOOKUP(A60,Low_Income_Minority!$A$3:$J$115,8,FALSE)</f>
        <v>0.5827527500231497</v>
      </c>
      <c r="L60" s="60">
        <f>IF(Minority&gt;=Minority_Thrshld,Min_Pts,0)</f>
        <v>5</v>
      </c>
      <c r="M60" s="321">
        <f>VLOOKUP(A60,Low_Income_Minority!$A$3:$J$115,10,FALSE)</f>
        <v>0.43334881591099117</v>
      </c>
      <c r="N60" s="61">
        <f t="shared" si="35"/>
        <v>0</v>
      </c>
      <c r="O60" s="57" t="str">
        <f>VLOOKUP(A60,Primary_Connections_To_Centers!$A$3:$K$116,9,FALSE)</f>
        <v>Yes</v>
      </c>
      <c r="P60" s="60">
        <f t="shared" si="36"/>
        <v>5</v>
      </c>
      <c r="Q60" s="38" t="str">
        <f>VLOOKUP(A60,Primary_Connections_To_Centers!$A$3:$K$116,10,FALSE)</f>
        <v>No</v>
      </c>
      <c r="R60" s="60">
        <f t="shared" si="37"/>
        <v>0</v>
      </c>
      <c r="S60" s="65">
        <f t="shared" si="38"/>
        <v>14</v>
      </c>
      <c r="T60" s="65"/>
      <c r="U60" s="73"/>
      <c r="V60" s="64">
        <f t="shared" si="39"/>
        <v>30</v>
      </c>
      <c r="W60" s="64">
        <f t="shared" si="40"/>
        <v>30</v>
      </c>
      <c r="X60" s="64">
        <f t="shared" si="41"/>
        <v>0</v>
      </c>
      <c r="Y60" s="38">
        <f>VLOOKUP(A60,Step_II_Load_CostRecovery_Sum!$A$5:$T$117,14,FALSE)</f>
        <v>0.74</v>
      </c>
      <c r="Z60" s="167">
        <f>VLOOKUP($A60,Step_II_Load_CostRecovery_Sum!$A$5:$T$117,15,FALSE)</f>
        <v>0.67</v>
      </c>
      <c r="AA60" s="38">
        <f t="shared" si="42"/>
        <v>0</v>
      </c>
      <c r="AB60" s="167">
        <f t="shared" si="43"/>
        <v>0</v>
      </c>
      <c r="AC60" s="288">
        <f>VLOOKUP($A60,Step_II_Load_CostRecovery_Sum!$A$5:$AE$117,29,FALSE)</f>
        <v>0.31144134253450445</v>
      </c>
      <c r="AD60" s="289">
        <f>VLOOKUP($A60,Step_II_Load_CostRecovery_Sum!$A$5:$AE$117,30,FALSE)</f>
        <v>0.24653701380175658</v>
      </c>
      <c r="AE60" s="290">
        <f>VLOOKUP($A60,Step_II_Load_CostRecovery_Sum!$A$5:$AE$117,31,FALSE)</f>
        <v>0.13664052697616064</v>
      </c>
      <c r="AF60" s="38">
        <f t="shared" si="44"/>
        <v>0</v>
      </c>
      <c r="AG60" s="25">
        <f t="shared" si="45"/>
        <v>0</v>
      </c>
      <c r="AH60" s="167">
        <f t="shared" si="46"/>
        <v>0</v>
      </c>
      <c r="AI60" s="38">
        <f t="shared" si="47"/>
        <v>0</v>
      </c>
      <c r="AJ60" s="170">
        <f t="shared" si="48"/>
        <v>60</v>
      </c>
      <c r="AK60" s="25">
        <f t="shared" si="49"/>
        <v>0</v>
      </c>
      <c r="AL60" s="167">
        <f t="shared" si="50"/>
        <v>60</v>
      </c>
      <c r="AN60" s="220">
        <f t="shared" si="51"/>
        <v>0</v>
      </c>
      <c r="AO60" s="26">
        <f t="shared" si="52"/>
        <v>0</v>
      </c>
      <c r="AP60" s="209">
        <f t="shared" si="53"/>
        <v>0</v>
      </c>
      <c r="AQ60" s="38">
        <f t="shared" si="54"/>
        <v>30</v>
      </c>
      <c r="AR60" s="25">
        <f t="shared" si="55"/>
        <v>30</v>
      </c>
      <c r="AS60" s="170">
        <f t="shared" si="56"/>
        <v>60</v>
      </c>
      <c r="AT60" s="253" t="str">
        <f t="shared" si="57"/>
        <v>Local</v>
      </c>
      <c r="AU60" s="251">
        <v>3</v>
      </c>
      <c r="AV60" s="41">
        <v>3</v>
      </c>
      <c r="AW60" s="207">
        <v>5</v>
      </c>
      <c r="AX60" s="175">
        <f t="shared" si="65"/>
        <v>3</v>
      </c>
      <c r="AY60" s="41">
        <f t="shared" si="65"/>
        <v>3</v>
      </c>
      <c r="AZ60" s="207">
        <f t="shared" si="61"/>
        <v>5</v>
      </c>
      <c r="BA60" s="38">
        <f t="shared" si="58"/>
        <v>0</v>
      </c>
      <c r="BB60" s="25">
        <f t="shared" si="59"/>
        <v>0</v>
      </c>
      <c r="BC60" s="167">
        <f t="shared" si="60"/>
        <v>0</v>
      </c>
    </row>
    <row r="61" spans="1:55" ht="12.75">
      <c r="A61" t="s">
        <v>199</v>
      </c>
      <c r="B61" s="79">
        <v>58</v>
      </c>
      <c r="C61" s="5" t="s">
        <v>39</v>
      </c>
      <c r="D61" s="6" t="s">
        <v>8</v>
      </c>
      <c r="E61" s="17" t="s">
        <v>63</v>
      </c>
      <c r="F61" s="6">
        <v>9</v>
      </c>
      <c r="G61" s="67">
        <f>VLOOKUP($A61,HH_Jobs_CorridorLength!$A$2:$F$116,5,FALSE)</f>
        <v>1931.282982504981</v>
      </c>
      <c r="H61" s="62">
        <f t="shared" si="33"/>
        <v>4</v>
      </c>
      <c r="I61" s="67">
        <f>VLOOKUP($A61,HH_Jobs_CorridorLength!$A$2:$F$116,6,FALSE)</f>
        <v>3470.8681727902494</v>
      </c>
      <c r="J61" s="62">
        <f t="shared" si="34"/>
        <v>0</v>
      </c>
      <c r="K61" s="319">
        <f>VLOOKUP(A61,Low_Income_Minority!$A$3:$J$115,8,FALSE)</f>
        <v>0.9385100512194611</v>
      </c>
      <c r="L61" s="60">
        <f>IF(Minority&gt;=Minority_Thrshld,Min_Pts,0)</f>
        <v>5</v>
      </c>
      <c r="M61" s="321">
        <f>VLOOKUP(A61,Low_Income_Minority!$A$3:$J$115,10,FALSE)</f>
        <v>0.6999605830096766</v>
      </c>
      <c r="N61" s="61">
        <f t="shared" si="35"/>
        <v>5</v>
      </c>
      <c r="O61" s="57" t="str">
        <f>VLOOKUP(A61,Primary_Connections_To_Centers!$A$3:$K$116,9,FALSE)</f>
        <v>No</v>
      </c>
      <c r="P61" s="60">
        <f t="shared" si="36"/>
        <v>0</v>
      </c>
      <c r="Q61" s="38" t="str">
        <f>VLOOKUP(A61,Primary_Connections_To_Centers!$A$3:$K$116,10,FALSE)</f>
        <v>No</v>
      </c>
      <c r="R61" s="60">
        <f t="shared" si="37"/>
        <v>0</v>
      </c>
      <c r="S61" s="65">
        <f t="shared" si="38"/>
        <v>14</v>
      </c>
      <c r="T61" s="65"/>
      <c r="U61" s="73"/>
      <c r="V61" s="64">
        <f t="shared" si="39"/>
        <v>30</v>
      </c>
      <c r="W61" s="64">
        <f t="shared" si="40"/>
        <v>30</v>
      </c>
      <c r="X61" s="64">
        <f t="shared" si="41"/>
        <v>0</v>
      </c>
      <c r="Y61" s="38">
        <f>VLOOKUP(A61,Step_II_Load_CostRecovery_Sum!$A$5:$T$117,14,FALSE)</f>
        <v>1.51</v>
      </c>
      <c r="Z61" s="167">
        <f>VLOOKUP($A61,Step_II_Load_CostRecovery_Sum!$A$5:$T$117,15,FALSE)</f>
        <v>0.66</v>
      </c>
      <c r="AA61" s="38">
        <f t="shared" si="42"/>
        <v>2</v>
      </c>
      <c r="AB61" s="167">
        <f t="shared" si="43"/>
        <v>0</v>
      </c>
      <c r="AC61" s="288">
        <f>VLOOKUP($A61,Step_II_Load_CostRecovery_Sum!$A$5:$AE$117,29,FALSE)</f>
        <v>0.6418569636135509</v>
      </c>
      <c r="AD61" s="289">
        <f>VLOOKUP($A61,Step_II_Load_CostRecovery_Sum!$A$5:$AE$117,30,FALSE)</f>
        <v>0.34744196988707654</v>
      </c>
      <c r="AE61" s="290" t="str">
        <f>VLOOKUP($A61,Step_II_Load_CostRecovery_Sum!$A$5:$AE$117,31,FALSE)</f>
        <v>N/A</v>
      </c>
      <c r="AF61" s="38">
        <f t="shared" si="44"/>
        <v>1</v>
      </c>
      <c r="AG61" s="25">
        <f t="shared" si="45"/>
        <v>0</v>
      </c>
      <c r="AH61" s="167" t="str">
        <f t="shared" si="46"/>
        <v>N/A</v>
      </c>
      <c r="AI61" s="38">
        <f t="shared" si="47"/>
        <v>0</v>
      </c>
      <c r="AJ61" s="170" t="str">
        <f t="shared" si="48"/>
        <v>N/A</v>
      </c>
      <c r="AK61" s="25">
        <f t="shared" si="49"/>
        <v>30</v>
      </c>
      <c r="AL61" s="167">
        <f t="shared" si="50"/>
        <v>30</v>
      </c>
      <c r="AN61" s="220">
        <f t="shared" si="51"/>
        <v>2</v>
      </c>
      <c r="AO61" s="26">
        <f t="shared" si="52"/>
        <v>0</v>
      </c>
      <c r="AP61" s="209">
        <f t="shared" si="53"/>
        <v>0</v>
      </c>
      <c r="AQ61" s="38" t="str">
        <f t="shared" si="54"/>
        <v>Better than 15 min</v>
      </c>
      <c r="AR61" s="25">
        <f t="shared" si="55"/>
        <v>30</v>
      </c>
      <c r="AS61" s="170">
        <f t="shared" si="56"/>
        <v>30</v>
      </c>
      <c r="AT61" s="253" t="str">
        <f t="shared" si="57"/>
        <v>Frequent</v>
      </c>
      <c r="AU61" s="251">
        <v>2</v>
      </c>
      <c r="AV61" s="41">
        <v>3</v>
      </c>
      <c r="AW61" s="207">
        <v>6</v>
      </c>
      <c r="AX61" s="175">
        <f t="shared" si="65"/>
        <v>1</v>
      </c>
      <c r="AY61" s="41">
        <f t="shared" si="65"/>
        <v>3</v>
      </c>
      <c r="AZ61" s="207">
        <f t="shared" si="61"/>
        <v>3</v>
      </c>
      <c r="BA61" s="38">
        <f t="shared" si="58"/>
        <v>-1</v>
      </c>
      <c r="BB61" s="25">
        <f t="shared" si="59"/>
        <v>0</v>
      </c>
      <c r="BC61" s="167">
        <f t="shared" si="60"/>
        <v>-3</v>
      </c>
    </row>
    <row r="62" spans="1:55" ht="12.75">
      <c r="A62" s="21" t="s">
        <v>253</v>
      </c>
      <c r="B62" s="79">
        <v>59</v>
      </c>
      <c r="C62" s="5" t="s">
        <v>239</v>
      </c>
      <c r="D62" s="6" t="s">
        <v>4</v>
      </c>
      <c r="E62" s="17" t="s">
        <v>254</v>
      </c>
      <c r="F62" s="10">
        <v>255</v>
      </c>
      <c r="G62" s="69">
        <f>VLOOKUP($A62,HH_Jobs_CorridorLength!$A$2:$F$116,5,FALSE)</f>
        <v>905.4612457952072</v>
      </c>
      <c r="H62" s="10">
        <f t="shared" si="33"/>
        <v>0</v>
      </c>
      <c r="I62" s="67">
        <f>VLOOKUP($A62,HH_Jobs_CorridorLength!$A$2:$F$116,6,FALSE)</f>
        <v>6197.284552832868</v>
      </c>
      <c r="J62" s="10">
        <f t="shared" si="34"/>
        <v>4</v>
      </c>
      <c r="K62" s="319">
        <f>VLOOKUP(A62,Low_Income_Minority!$A$3:$J$115,8,FALSE)</f>
        <v>0</v>
      </c>
      <c r="L62" s="60">
        <f>IF(Minority&gt;=Minority_Thrshld,Min_Pts,0)</f>
        <v>0</v>
      </c>
      <c r="M62" s="321">
        <f>VLOOKUP(A62,Low_Income_Minority!$A$3:$J$115,10,FALSE)</f>
        <v>0.026127394291725486</v>
      </c>
      <c r="N62" s="61">
        <f t="shared" si="35"/>
        <v>0</v>
      </c>
      <c r="O62" s="12" t="str">
        <f>VLOOKUP(A62,Primary_Connections_To_Centers!$A$3:$K$116,9,FALSE)</f>
        <v>Yes</v>
      </c>
      <c r="P62" s="60">
        <f t="shared" si="36"/>
        <v>5</v>
      </c>
      <c r="Q62" s="5" t="str">
        <f>VLOOKUP(A62,Primary_Connections_To_Centers!$A$3:$K$116,10,FALSE)</f>
        <v>Yes</v>
      </c>
      <c r="R62" s="60">
        <f t="shared" si="37"/>
        <v>5</v>
      </c>
      <c r="S62" s="174">
        <f t="shared" si="38"/>
        <v>14</v>
      </c>
      <c r="T62" s="174"/>
      <c r="U62" s="280"/>
      <c r="V62" s="7">
        <f t="shared" si="39"/>
        <v>30</v>
      </c>
      <c r="W62" s="7">
        <f t="shared" si="40"/>
        <v>30</v>
      </c>
      <c r="X62" s="64">
        <f t="shared" si="41"/>
        <v>0</v>
      </c>
      <c r="Y62" s="5">
        <f>VLOOKUP(A62,Step_II_Load_CostRecovery_Sum!$A$5:$T$117,14,FALSE)</f>
        <v>1.6</v>
      </c>
      <c r="Z62" s="282">
        <f>VLOOKUP($A62,Step_II_Load_CostRecovery_Sum!$A$5:$T$117,15,FALSE)</f>
        <v>0.55</v>
      </c>
      <c r="AA62" s="5">
        <f t="shared" si="42"/>
        <v>2</v>
      </c>
      <c r="AB62" s="282">
        <f t="shared" si="43"/>
        <v>0</v>
      </c>
      <c r="AC62" s="288">
        <f>VLOOKUP($A62,Step_II_Load_CostRecovery_Sum!$A$5:$AE$117,29,FALSE)</f>
        <v>0.5831242158092849</v>
      </c>
      <c r="AD62" s="289">
        <f>VLOOKUP($A62,Step_II_Load_CostRecovery_Sum!$A$5:$AE$117,30,FALSE)</f>
        <v>0.17183814303638645</v>
      </c>
      <c r="AE62" s="290">
        <f>VLOOKUP($A62,Step_II_Load_CostRecovery_Sum!$A$5:$AE$117,31,FALSE)</f>
        <v>0.11973337515683814</v>
      </c>
      <c r="AF62" s="5">
        <f t="shared" si="44"/>
        <v>1</v>
      </c>
      <c r="AG62" s="6">
        <f t="shared" si="45"/>
        <v>0</v>
      </c>
      <c r="AH62" s="282">
        <f t="shared" si="46"/>
        <v>0</v>
      </c>
      <c r="AI62" s="5">
        <f t="shared" si="47"/>
        <v>60</v>
      </c>
      <c r="AJ62" s="17">
        <f t="shared" si="48"/>
        <v>60</v>
      </c>
      <c r="AK62" s="6">
        <f t="shared" si="49"/>
        <v>30</v>
      </c>
      <c r="AL62" s="282">
        <f t="shared" si="50"/>
        <v>30</v>
      </c>
      <c r="AM62" s="21"/>
      <c r="AN62" s="283">
        <f t="shared" si="51"/>
        <v>2</v>
      </c>
      <c r="AO62" s="266">
        <f t="shared" si="52"/>
        <v>0</v>
      </c>
      <c r="AP62" s="209">
        <f t="shared" si="53"/>
        <v>0</v>
      </c>
      <c r="AQ62" s="5" t="str">
        <f t="shared" si="54"/>
        <v>Better than 15 min</v>
      </c>
      <c r="AR62" s="6">
        <f t="shared" si="55"/>
        <v>30</v>
      </c>
      <c r="AS62" s="17">
        <f t="shared" si="56"/>
        <v>30</v>
      </c>
      <c r="AT62" s="31" t="str">
        <f t="shared" si="57"/>
        <v>Frequent</v>
      </c>
      <c r="AU62" s="284">
        <v>1</v>
      </c>
      <c r="AV62" s="182">
        <v>2</v>
      </c>
      <c r="AW62" s="285">
        <v>4</v>
      </c>
      <c r="AX62" s="281">
        <f t="shared" si="65"/>
        <v>1</v>
      </c>
      <c r="AY62" s="182">
        <f t="shared" si="65"/>
        <v>3</v>
      </c>
      <c r="AZ62" s="285">
        <f t="shared" si="61"/>
        <v>3</v>
      </c>
      <c r="BA62" s="5">
        <f t="shared" si="58"/>
        <v>0</v>
      </c>
      <c r="BB62" s="258">
        <f t="shared" si="59"/>
        <v>1</v>
      </c>
      <c r="BC62" s="259">
        <f t="shared" si="60"/>
        <v>-1</v>
      </c>
    </row>
    <row r="63" spans="1:55" ht="12.75">
      <c r="A63" t="s">
        <v>138</v>
      </c>
      <c r="B63" s="79">
        <v>60</v>
      </c>
      <c r="C63" s="5" t="s">
        <v>86</v>
      </c>
      <c r="D63" s="6" t="s">
        <v>21</v>
      </c>
      <c r="E63" s="17" t="s">
        <v>139</v>
      </c>
      <c r="F63" s="10">
        <v>67</v>
      </c>
      <c r="G63" s="67">
        <f>VLOOKUP($A63,HH_Jobs_CorridorLength!$A$2:$F$116,5,FALSE)</f>
        <v>1224.7245981486983</v>
      </c>
      <c r="H63" s="62">
        <f t="shared" si="33"/>
        <v>4</v>
      </c>
      <c r="I63" s="67">
        <f>VLOOKUP($A63,HH_Jobs_CorridorLength!$A$2:$F$116,6,FALSE)</f>
        <v>4256.5889924496405</v>
      </c>
      <c r="J63" s="62">
        <f t="shared" si="34"/>
        <v>0</v>
      </c>
      <c r="K63" s="319">
        <f>VLOOKUP(A63,Low_Income_Minority!$A$3:$J$115,8,FALSE)</f>
        <v>0.38430920911955524</v>
      </c>
      <c r="L63" s="60">
        <f>IF(Minority&gt;=Minority_Thrshld,Min_Pts,0)</f>
        <v>0</v>
      </c>
      <c r="M63" s="321">
        <f>VLOOKUP(A63,Low_Income_Minority!$A$3:$J$115,10,FALSE)</f>
        <v>0.4510317393718243</v>
      </c>
      <c r="N63" s="61">
        <f t="shared" si="35"/>
        <v>0</v>
      </c>
      <c r="O63" s="57" t="str">
        <f>VLOOKUP(A63,Primary_Connections_To_Centers!$A$3:$K$116,9,FALSE)</f>
        <v>Yes</v>
      </c>
      <c r="P63" s="60">
        <f t="shared" si="36"/>
        <v>5</v>
      </c>
      <c r="Q63" s="38" t="str">
        <f>VLOOKUP(A63,Primary_Connections_To_Centers!$A$3:$K$116,10,FALSE)</f>
        <v>Yes</v>
      </c>
      <c r="R63" s="60">
        <f t="shared" si="37"/>
        <v>5</v>
      </c>
      <c r="S63" s="65">
        <f t="shared" si="38"/>
        <v>14</v>
      </c>
      <c r="T63" s="65"/>
      <c r="U63" s="73"/>
      <c r="V63" s="64">
        <f t="shared" si="39"/>
        <v>30</v>
      </c>
      <c r="W63" s="64">
        <f t="shared" si="40"/>
        <v>30</v>
      </c>
      <c r="X63" s="64">
        <f t="shared" si="41"/>
        <v>0</v>
      </c>
      <c r="Y63" s="38">
        <f>VLOOKUP(A63,Step_II_Load_CostRecovery_Sum!$A$5:$T$117,14,FALSE)</f>
        <v>1.16</v>
      </c>
      <c r="Z63" s="167">
        <f>VLOOKUP($A63,Step_II_Load_CostRecovery_Sum!$A$5:$T$117,15,FALSE)</f>
        <v>0.81</v>
      </c>
      <c r="AA63" s="38">
        <f t="shared" si="42"/>
        <v>1</v>
      </c>
      <c r="AB63" s="167">
        <f t="shared" si="43"/>
        <v>1</v>
      </c>
      <c r="AC63" s="288">
        <f>VLOOKUP($A63,Step_II_Load_CostRecovery_Sum!$A$5:$AE$117,29,FALSE)</f>
        <v>0.8068005018820578</v>
      </c>
      <c r="AD63" s="289">
        <f>VLOOKUP($A63,Step_II_Load_CostRecovery_Sum!$A$5:$AE$117,30,FALSE)</f>
        <v>0.8583453575909661</v>
      </c>
      <c r="AE63" s="290">
        <f>VLOOKUP($A63,Step_II_Load_CostRecovery_Sum!$A$5:$AE$117,31,FALSE)</f>
        <v>0.2559896486825596</v>
      </c>
      <c r="AF63" s="38">
        <f t="shared" si="44"/>
        <v>1</v>
      </c>
      <c r="AG63" s="25">
        <f t="shared" si="45"/>
        <v>1</v>
      </c>
      <c r="AH63" s="167">
        <f t="shared" si="46"/>
        <v>0</v>
      </c>
      <c r="AI63" s="38">
        <f t="shared" si="47"/>
        <v>60</v>
      </c>
      <c r="AJ63" s="170">
        <f t="shared" si="48"/>
        <v>30</v>
      </c>
      <c r="AK63" s="25">
        <f t="shared" si="49"/>
        <v>30</v>
      </c>
      <c r="AL63" s="167">
        <f t="shared" si="50"/>
        <v>30</v>
      </c>
      <c r="AN63" s="220">
        <f t="shared" si="51"/>
        <v>1</v>
      </c>
      <c r="AO63" s="26">
        <f t="shared" si="52"/>
        <v>1</v>
      </c>
      <c r="AP63" s="209">
        <f t="shared" si="53"/>
        <v>0</v>
      </c>
      <c r="AQ63" s="38">
        <f t="shared" si="54"/>
        <v>15</v>
      </c>
      <c r="AR63" s="25">
        <f t="shared" si="55"/>
        <v>15</v>
      </c>
      <c r="AS63" s="170">
        <f t="shared" si="56"/>
        <v>30</v>
      </c>
      <c r="AT63" s="253" t="str">
        <f t="shared" si="57"/>
        <v>Very Frequent</v>
      </c>
      <c r="AU63" s="251">
        <v>2</v>
      </c>
      <c r="AV63" s="41">
        <v>2</v>
      </c>
      <c r="AW63" s="207">
        <v>3</v>
      </c>
      <c r="AX63" s="175">
        <f>IF(AQ63="Better than 15 min",1,IF(AQ63=15,2,IF(AQ63=30,3,IF(AQ63=60,5,0))))</f>
        <v>2</v>
      </c>
      <c r="AY63" s="41">
        <f>IF(AR63="Better than 15 min",1,IF(AR63=15,2,IF(AR63=30,3,IF(AR63=60,5,0))))</f>
        <v>2</v>
      </c>
      <c r="AZ63" s="207">
        <f t="shared" si="61"/>
        <v>3</v>
      </c>
      <c r="BA63" s="38">
        <f t="shared" si="58"/>
        <v>0</v>
      </c>
      <c r="BB63" s="25">
        <f t="shared" si="59"/>
        <v>0</v>
      </c>
      <c r="BC63" s="167">
        <f t="shared" si="60"/>
        <v>0</v>
      </c>
    </row>
    <row r="64" spans="1:55" ht="12.75">
      <c r="A64" t="s">
        <v>123</v>
      </c>
      <c r="B64" s="79">
        <v>61</v>
      </c>
      <c r="C64" s="5" t="s">
        <v>48</v>
      </c>
      <c r="D64" s="6" t="s">
        <v>4</v>
      </c>
      <c r="E64" s="17" t="s">
        <v>124</v>
      </c>
      <c r="F64" s="7">
        <v>125</v>
      </c>
      <c r="G64" s="67">
        <f>VLOOKUP($A64,HH_Jobs_CorridorLength!$A$2:$F$116,5,FALSE)</f>
        <v>754.3792107795957</v>
      </c>
      <c r="H64" s="62">
        <f t="shared" si="33"/>
        <v>0</v>
      </c>
      <c r="I64" s="67">
        <f>VLOOKUP($A64,HH_Jobs_CorridorLength!$A$2:$F$116,6,FALSE)</f>
        <v>6069.104908565929</v>
      </c>
      <c r="J64" s="62">
        <f t="shared" si="34"/>
        <v>4</v>
      </c>
      <c r="K64" s="319">
        <f>VLOOKUP(A64,Low_Income_Minority!$A$3:$J$115,8,FALSE)</f>
        <v>0.8623800378910069</v>
      </c>
      <c r="L64" s="60">
        <f>IF(Minority&gt;=Minority_Thrshld,Min_Pts,0)</f>
        <v>5</v>
      </c>
      <c r="M64" s="321">
        <f>VLOOKUP(A64,Low_Income_Minority!$A$3:$J$115,10,FALSE)</f>
        <v>0.28090211144596783</v>
      </c>
      <c r="N64" s="61">
        <f t="shared" si="35"/>
        <v>0</v>
      </c>
      <c r="O64" s="57" t="str">
        <f>VLOOKUP(A64,Primary_Connections_To_Centers!$A$3:$K$116,9,FALSE)</f>
        <v>Yes</v>
      </c>
      <c r="P64" s="60">
        <f t="shared" si="36"/>
        <v>5</v>
      </c>
      <c r="Q64" s="38" t="str">
        <f>VLOOKUP(A64,Primary_Connections_To_Centers!$A$3:$K$116,10,FALSE)</f>
        <v>No</v>
      </c>
      <c r="R64" s="60">
        <f t="shared" si="37"/>
        <v>0</v>
      </c>
      <c r="S64" s="65">
        <f t="shared" si="38"/>
        <v>14</v>
      </c>
      <c r="T64" s="65"/>
      <c r="U64" s="73"/>
      <c r="V64" s="64">
        <f t="shared" si="39"/>
        <v>30</v>
      </c>
      <c r="W64" s="64">
        <f t="shared" si="40"/>
        <v>30</v>
      </c>
      <c r="X64" s="64">
        <f t="shared" si="41"/>
        <v>0</v>
      </c>
      <c r="Y64" s="38">
        <f>VLOOKUP(A64,Step_II_Load_CostRecovery_Sum!$A$5:$T$117,14,FALSE)</f>
        <v>1.45</v>
      </c>
      <c r="Z64" s="167">
        <f>VLOOKUP($A64,Step_II_Load_CostRecovery_Sum!$A$5:$T$117,15,FALSE)</f>
        <v>0.61</v>
      </c>
      <c r="AA64" s="38">
        <f t="shared" si="42"/>
        <v>1</v>
      </c>
      <c r="AB64" s="167">
        <f t="shared" si="43"/>
        <v>0</v>
      </c>
      <c r="AC64" s="288">
        <f>VLOOKUP($A64,Step_II_Load_CostRecovery_Sum!$A$5:$AE$117,29,FALSE)</f>
        <v>0.7009723964868256</v>
      </c>
      <c r="AD64" s="289">
        <f>VLOOKUP($A64,Step_II_Load_CostRecovery_Sum!$A$5:$AE$117,30,FALSE)</f>
        <v>0.25637390213299877</v>
      </c>
      <c r="AE64" s="290" t="str">
        <f>VLOOKUP($A64,Step_II_Load_CostRecovery_Sum!$A$5:$AE$117,31,FALSE)</f>
        <v>N/A</v>
      </c>
      <c r="AF64" s="38">
        <f t="shared" si="44"/>
        <v>1</v>
      </c>
      <c r="AG64" s="25">
        <f t="shared" si="45"/>
        <v>0</v>
      </c>
      <c r="AH64" s="167" t="str">
        <f t="shared" si="46"/>
        <v>N/A</v>
      </c>
      <c r="AI64" s="38">
        <f t="shared" si="47"/>
        <v>0</v>
      </c>
      <c r="AJ64" s="170" t="str">
        <f t="shared" si="48"/>
        <v>N/A</v>
      </c>
      <c r="AK64" s="25">
        <f t="shared" si="49"/>
        <v>30</v>
      </c>
      <c r="AL64" s="167">
        <f t="shared" si="50"/>
        <v>30</v>
      </c>
      <c r="AN64" s="220">
        <f t="shared" si="51"/>
        <v>1</v>
      </c>
      <c r="AO64" s="26">
        <f t="shared" si="52"/>
        <v>0</v>
      </c>
      <c r="AP64" s="209">
        <f t="shared" si="53"/>
        <v>0</v>
      </c>
      <c r="AQ64" s="38">
        <f t="shared" si="54"/>
        <v>15</v>
      </c>
      <c r="AR64" s="25">
        <f t="shared" si="55"/>
        <v>30</v>
      </c>
      <c r="AS64" s="170">
        <f t="shared" si="56"/>
        <v>30</v>
      </c>
      <c r="AT64" s="253" t="str">
        <f t="shared" si="57"/>
        <v>Frequent</v>
      </c>
      <c r="AU64" s="251">
        <v>2</v>
      </c>
      <c r="AV64" s="41">
        <v>3</v>
      </c>
      <c r="AW64" s="207">
        <v>3</v>
      </c>
      <c r="AX64" s="175">
        <f>IF(AQ64="Better than 15 min",1,IF(AQ64=15,2,IF(AQ64=30,3,IF(AQ64=60,5,0))))</f>
        <v>2</v>
      </c>
      <c r="AY64" s="41">
        <f>IF(AR64="Better than 15 min",1,IF(AR64=15,2,IF(AR64=30,3,IF(AR64=60,5,0))))</f>
        <v>3</v>
      </c>
      <c r="AZ64" s="207">
        <f t="shared" si="61"/>
        <v>3</v>
      </c>
      <c r="BA64" s="38">
        <f t="shared" si="58"/>
        <v>0</v>
      </c>
      <c r="BB64" s="25">
        <f t="shared" si="59"/>
        <v>0</v>
      </c>
      <c r="BC64" s="167">
        <f t="shared" si="60"/>
        <v>0</v>
      </c>
    </row>
    <row r="65" spans="1:55" ht="12.75">
      <c r="A65" t="s">
        <v>65</v>
      </c>
      <c r="B65" s="79">
        <v>62</v>
      </c>
      <c r="C65" s="5" t="s">
        <v>66</v>
      </c>
      <c r="D65" s="6" t="s">
        <v>4</v>
      </c>
      <c r="E65" s="17" t="s">
        <v>67</v>
      </c>
      <c r="F65" s="8" t="s">
        <v>68</v>
      </c>
      <c r="G65" s="67">
        <f>VLOOKUP($A65,HH_Jobs_CorridorLength!$A$2:$F$116,5,FALSE)</f>
        <v>1943.5811031241126</v>
      </c>
      <c r="H65" s="62">
        <f t="shared" si="33"/>
        <v>4</v>
      </c>
      <c r="I65" s="67">
        <f>VLOOKUP($A65,HH_Jobs_CorridorLength!$A$2:$F$116,6,FALSE)</f>
        <v>7798.95504859595</v>
      </c>
      <c r="J65" s="62">
        <f t="shared" si="34"/>
        <v>4</v>
      </c>
      <c r="K65" s="319">
        <f>VLOOKUP(A65,Low_Income_Minority!$A$3:$J$115,8,FALSE)</f>
        <v>0.47910279765058733</v>
      </c>
      <c r="L65" s="60">
        <f>IF(Minority&gt;=Minority_Thrshld,Min_Pts,0)</f>
        <v>0</v>
      </c>
      <c r="M65" s="321">
        <f>VLOOKUP(A65,Low_Income_Minority!$A$3:$J$115,10,FALSE)</f>
        <v>0.27227013245981724</v>
      </c>
      <c r="N65" s="61">
        <f t="shared" si="35"/>
        <v>0</v>
      </c>
      <c r="O65" s="57" t="str">
        <f>VLOOKUP(A65,Primary_Connections_To_Centers!$A$3:$K$116,9,FALSE)</f>
        <v>Yes</v>
      </c>
      <c r="P65" s="60">
        <f t="shared" si="36"/>
        <v>5</v>
      </c>
      <c r="Q65" s="38" t="str">
        <f>VLOOKUP(A65,Primary_Connections_To_Centers!$A$3:$K$116,10,FALSE)</f>
        <v>No</v>
      </c>
      <c r="R65" s="60">
        <f t="shared" si="37"/>
        <v>0</v>
      </c>
      <c r="S65" s="65">
        <f t="shared" si="38"/>
        <v>13</v>
      </c>
      <c r="T65" s="65" t="s">
        <v>599</v>
      </c>
      <c r="U65" s="73"/>
      <c r="V65" s="64" t="str">
        <f t="shared" si="39"/>
        <v>Better than 15 min</v>
      </c>
      <c r="W65" s="64">
        <f t="shared" si="40"/>
        <v>15</v>
      </c>
      <c r="X65" s="64">
        <f t="shared" si="41"/>
        <v>15</v>
      </c>
      <c r="Y65" s="38">
        <f>VLOOKUP(A65,Step_II_Load_CostRecovery_Sum!$A$5:$T$117,14,FALSE)</f>
        <v>1.44</v>
      </c>
      <c r="Z65" s="167">
        <f>VLOOKUP($A65,Step_II_Load_CostRecovery_Sum!$A$5:$T$117,15,FALSE)</f>
        <v>0.7</v>
      </c>
      <c r="AA65" s="38">
        <f t="shared" si="42"/>
        <v>1</v>
      </c>
      <c r="AB65" s="167">
        <f t="shared" si="43"/>
        <v>0</v>
      </c>
      <c r="AC65" s="288">
        <f>VLOOKUP($A65,Step_II_Load_CostRecovery_Sum!$A$5:$AE$117,29,FALSE)</f>
        <v>0.8962986198243413</v>
      </c>
      <c r="AD65" s="289">
        <f>VLOOKUP($A65,Step_II_Load_CostRecovery_Sum!$A$5:$AE$117,30,FALSE)</f>
        <v>0.7776521329987452</v>
      </c>
      <c r="AE65" s="290">
        <f>VLOOKUP($A65,Step_II_Load_CostRecovery_Sum!$A$5:$AE$117,31,FALSE)</f>
        <v>0.2589099749058971</v>
      </c>
      <c r="AF65" s="38">
        <f t="shared" si="44"/>
        <v>1</v>
      </c>
      <c r="AG65" s="25">
        <f t="shared" si="45"/>
        <v>1</v>
      </c>
      <c r="AH65" s="167">
        <f t="shared" si="46"/>
        <v>0</v>
      </c>
      <c r="AI65" s="38">
        <f t="shared" si="47"/>
        <v>0</v>
      </c>
      <c r="AJ65" s="170">
        <f t="shared" si="48"/>
        <v>30</v>
      </c>
      <c r="AK65" s="25">
        <f t="shared" si="49"/>
        <v>30</v>
      </c>
      <c r="AL65" s="167">
        <f t="shared" si="50"/>
        <v>30</v>
      </c>
      <c r="AN65" s="220">
        <f t="shared" si="51"/>
        <v>1</v>
      </c>
      <c r="AO65" s="26">
        <f t="shared" si="52"/>
        <v>1</v>
      </c>
      <c r="AP65" s="209">
        <f t="shared" si="53"/>
        <v>0</v>
      </c>
      <c r="AQ65" s="38" t="str">
        <f t="shared" si="54"/>
        <v>Better than 15 min</v>
      </c>
      <c r="AR65" s="25" t="str">
        <f t="shared" si="55"/>
        <v>Better than 15 min</v>
      </c>
      <c r="AS65" s="170">
        <f t="shared" si="56"/>
        <v>15</v>
      </c>
      <c r="AT65" s="253" t="str">
        <f t="shared" si="57"/>
        <v>Very Frequent</v>
      </c>
      <c r="AU65" s="251">
        <v>2</v>
      </c>
      <c r="AV65" s="41">
        <v>2</v>
      </c>
      <c r="AW65" s="207">
        <v>3</v>
      </c>
      <c r="AX65" s="175">
        <f>IF(AQ65="Better than 15 min",1,IF(AQ65=15,2,IF(AQ65=30,3,IF(AQ65=60,5,6))))</f>
        <v>1</v>
      </c>
      <c r="AY65" s="41">
        <f>IF(AR65="Better than 15 min",1,IF(AR65=15,2,IF(AR65=30,3,IF(AR65=60,5,6))))</f>
        <v>1</v>
      </c>
      <c r="AZ65" s="207">
        <f t="shared" si="61"/>
        <v>2</v>
      </c>
      <c r="BA65" s="38">
        <f t="shared" si="58"/>
        <v>-1</v>
      </c>
      <c r="BB65" s="25">
        <f t="shared" si="59"/>
        <v>-1</v>
      </c>
      <c r="BC65" s="167">
        <f t="shared" si="60"/>
        <v>-1</v>
      </c>
    </row>
    <row r="66" spans="1:55" ht="12.75">
      <c r="A66" t="s">
        <v>153</v>
      </c>
      <c r="B66" s="79">
        <v>63</v>
      </c>
      <c r="C66" s="5" t="s">
        <v>154</v>
      </c>
      <c r="D66" s="6" t="s">
        <v>4</v>
      </c>
      <c r="E66" s="17" t="s">
        <v>155</v>
      </c>
      <c r="F66" s="7">
        <v>21</v>
      </c>
      <c r="G66" s="67">
        <f>VLOOKUP($A66,HH_Jobs_CorridorLength!$A$2:$F$116,5,FALSE)</f>
        <v>1395.6624605678235</v>
      </c>
      <c r="H66" s="62">
        <f t="shared" si="33"/>
        <v>4</v>
      </c>
      <c r="I66" s="67">
        <f>VLOOKUP($A66,HH_Jobs_CorridorLength!$A$2:$F$116,6,FALSE)</f>
        <v>7889.511041009464</v>
      </c>
      <c r="J66" s="62">
        <f t="shared" si="34"/>
        <v>4</v>
      </c>
      <c r="K66" s="319">
        <f>VLOOKUP(A66,Low_Income_Minority!$A$3:$J$115,8,FALSE)</f>
        <v>0.5468672293305153</v>
      </c>
      <c r="L66" s="60">
        <f>IF(Minority&gt;=Minority_Thrshld,Min_Pts,0)</f>
        <v>5</v>
      </c>
      <c r="M66" s="321">
        <f>VLOOKUP(A66,Low_Income_Minority!$A$3:$J$115,10,FALSE)</f>
        <v>0.4605917462583699</v>
      </c>
      <c r="N66" s="61">
        <f t="shared" si="35"/>
        <v>0</v>
      </c>
      <c r="O66" s="57" t="str">
        <f>VLOOKUP(A66,Primary_Connections_To_Centers!$A$3:$K$116,9,FALSE)</f>
        <v>No</v>
      </c>
      <c r="P66" s="60">
        <f t="shared" si="36"/>
        <v>0</v>
      </c>
      <c r="Q66" s="38" t="str">
        <f>VLOOKUP(A66,Primary_Connections_To_Centers!$A$3:$K$116,10,FALSE)</f>
        <v>No</v>
      </c>
      <c r="R66" s="60">
        <f t="shared" si="37"/>
        <v>0</v>
      </c>
      <c r="S66" s="65">
        <f t="shared" si="38"/>
        <v>13</v>
      </c>
      <c r="T66" s="65"/>
      <c r="U66" s="73"/>
      <c r="V66" s="64">
        <f t="shared" si="39"/>
        <v>30</v>
      </c>
      <c r="W66" s="64">
        <f t="shared" si="40"/>
        <v>30</v>
      </c>
      <c r="X66" s="64">
        <f t="shared" si="41"/>
        <v>0</v>
      </c>
      <c r="Y66" s="38">
        <f>VLOOKUP(A66,Step_II_Load_CostRecovery_Sum!$A$5:$T$117,14,FALSE)</f>
        <v>0.6</v>
      </c>
      <c r="Z66" s="167">
        <f>VLOOKUP($A66,Step_II_Load_CostRecovery_Sum!$A$5:$T$117,15,FALSE)</f>
        <v>0.41</v>
      </c>
      <c r="AA66" s="38">
        <f t="shared" si="42"/>
        <v>0</v>
      </c>
      <c r="AB66" s="167">
        <f t="shared" si="43"/>
        <v>0</v>
      </c>
      <c r="AC66" s="288">
        <f>VLOOKUP($A66,Step_II_Load_CostRecovery_Sum!$A$5:$AE$117,29,FALSE)</f>
        <v>0.2763111668757842</v>
      </c>
      <c r="AD66" s="289">
        <f>VLOOKUP($A66,Step_II_Load_CostRecovery_Sum!$A$5:$AE$117,30,FALSE)</f>
        <v>0.22102258469259728</v>
      </c>
      <c r="AE66" s="290">
        <f>VLOOKUP($A66,Step_II_Load_CostRecovery_Sum!$A$5:$AE$117,31,FALSE)</f>
        <v>0.11719730238393979</v>
      </c>
      <c r="AF66" s="38">
        <f t="shared" si="44"/>
        <v>0</v>
      </c>
      <c r="AG66" s="25">
        <f t="shared" si="45"/>
        <v>0</v>
      </c>
      <c r="AH66" s="167">
        <f t="shared" si="46"/>
        <v>0</v>
      </c>
      <c r="AI66" s="38">
        <f t="shared" si="47"/>
        <v>0</v>
      </c>
      <c r="AJ66" s="170">
        <f t="shared" si="48"/>
        <v>60</v>
      </c>
      <c r="AK66" s="25">
        <f t="shared" si="49"/>
        <v>0</v>
      </c>
      <c r="AL66" s="167">
        <f t="shared" si="50"/>
        <v>60</v>
      </c>
      <c r="AN66" s="220">
        <f t="shared" si="51"/>
        <v>0</v>
      </c>
      <c r="AO66" s="26">
        <f t="shared" si="52"/>
        <v>0</v>
      </c>
      <c r="AP66" s="209">
        <f t="shared" si="53"/>
        <v>0</v>
      </c>
      <c r="AQ66" s="38">
        <f t="shared" si="54"/>
        <v>30</v>
      </c>
      <c r="AR66" s="25">
        <f t="shared" si="55"/>
        <v>30</v>
      </c>
      <c r="AS66" s="170">
        <f t="shared" si="56"/>
        <v>60</v>
      </c>
      <c r="AT66" s="253" t="str">
        <f t="shared" si="57"/>
        <v>Local</v>
      </c>
      <c r="AU66" s="251">
        <v>3</v>
      </c>
      <c r="AV66" s="41">
        <v>3</v>
      </c>
      <c r="AW66" s="207">
        <v>3</v>
      </c>
      <c r="AX66" s="175">
        <f>IF(AQ66="Better than 15 min",1,IF(AQ66=15,2,IF(AQ66=30,3,IF(AQ66=60,5,0))))</f>
        <v>3</v>
      </c>
      <c r="AY66" s="41">
        <f>IF(AR66="Better than 15 min",1,IF(AR66=15,2,IF(AR66=30,3,IF(AR66=60,5,0))))</f>
        <v>3</v>
      </c>
      <c r="AZ66" s="207">
        <f t="shared" si="61"/>
        <v>5</v>
      </c>
      <c r="BA66" s="38">
        <f t="shared" si="58"/>
        <v>0</v>
      </c>
      <c r="BB66" s="25">
        <f t="shared" si="59"/>
        <v>0</v>
      </c>
      <c r="BC66" s="167">
        <f t="shared" si="60"/>
        <v>2</v>
      </c>
    </row>
    <row r="67" spans="1:55" ht="12.75">
      <c r="A67" t="s">
        <v>156</v>
      </c>
      <c r="B67" s="79">
        <v>64</v>
      </c>
      <c r="C67" s="5" t="s">
        <v>3</v>
      </c>
      <c r="D67" s="6" t="s">
        <v>21</v>
      </c>
      <c r="E67" s="17" t="s">
        <v>157</v>
      </c>
      <c r="F67" s="8" t="s">
        <v>158</v>
      </c>
      <c r="G67" s="67">
        <f>VLOOKUP($A67,HH_Jobs_CorridorLength!$A$2:$F$116,5,FALSE)</f>
        <v>2296.714236670007</v>
      </c>
      <c r="H67" s="62">
        <f t="shared" si="33"/>
        <v>7</v>
      </c>
      <c r="I67" s="67">
        <f>VLOOKUP($A67,HH_Jobs_CorridorLength!$A$2:$F$116,6,FALSE)</f>
        <v>1324.3740680732064</v>
      </c>
      <c r="J67" s="62">
        <f t="shared" si="34"/>
        <v>0</v>
      </c>
      <c r="K67" s="319">
        <f>VLOOKUP(A67,Low_Income_Minority!$A$3:$J$115,8,FALSE)</f>
        <v>0.06987835972121016</v>
      </c>
      <c r="L67" s="60">
        <f>IF(Minority&gt;=Minority_Thrshld,Min_Pts,0)</f>
        <v>0</v>
      </c>
      <c r="M67" s="321">
        <f>VLOOKUP(A67,Low_Income_Minority!$A$3:$J$115,10,FALSE)</f>
        <v>0.24878914749698783</v>
      </c>
      <c r="N67" s="61">
        <f t="shared" si="35"/>
        <v>0</v>
      </c>
      <c r="O67" s="57" t="str">
        <f>VLOOKUP(A67,Primary_Connections_To_Centers!$A$3:$K$116,9,FALSE)</f>
        <v>Yes</v>
      </c>
      <c r="P67" s="60">
        <f t="shared" si="36"/>
        <v>5</v>
      </c>
      <c r="Q67" s="38" t="str">
        <f>VLOOKUP(A67,Primary_Connections_To_Centers!$A$3:$K$116,10,FALSE)</f>
        <v>No</v>
      </c>
      <c r="R67" s="60">
        <f t="shared" si="37"/>
        <v>0</v>
      </c>
      <c r="S67" s="65">
        <f t="shared" si="38"/>
        <v>12</v>
      </c>
      <c r="T67" s="65"/>
      <c r="U67" s="73"/>
      <c r="V67" s="64">
        <f t="shared" si="39"/>
        <v>30</v>
      </c>
      <c r="W67" s="64">
        <f t="shared" si="40"/>
        <v>30</v>
      </c>
      <c r="X67" s="64">
        <f t="shared" si="41"/>
        <v>0</v>
      </c>
      <c r="Y67" s="38">
        <f>VLOOKUP(A67,Step_II_Load_CostRecovery_Sum!$A$5:$T$117,14,FALSE)</f>
        <v>1.96</v>
      </c>
      <c r="Z67" s="167">
        <f>VLOOKUP($A67,Step_II_Load_CostRecovery_Sum!$A$5:$T$117,15,FALSE)</f>
        <v>0.98</v>
      </c>
      <c r="AA67" s="38">
        <f t="shared" si="42"/>
        <v>2</v>
      </c>
      <c r="AB67" s="167">
        <f t="shared" si="43"/>
        <v>1</v>
      </c>
      <c r="AC67" s="288">
        <f>VLOOKUP($A67,Step_II_Load_CostRecovery_Sum!$A$5:$AE$117,29,FALSE)</f>
        <v>1.2430489335006276</v>
      </c>
      <c r="AD67" s="289">
        <f>VLOOKUP($A67,Step_II_Load_CostRecovery_Sum!$A$5:$AE$117,30,FALSE)</f>
        <v>0.7220890840652446</v>
      </c>
      <c r="AE67" s="290">
        <f>VLOOKUP($A67,Step_II_Load_CostRecovery_Sum!$A$5:$AE$117,31,FALSE)</f>
        <v>0.402620765370138</v>
      </c>
      <c r="AF67" s="38">
        <f t="shared" si="44"/>
        <v>2</v>
      </c>
      <c r="AG67" s="25">
        <f t="shared" si="45"/>
        <v>1</v>
      </c>
      <c r="AH67" s="167">
        <f t="shared" si="46"/>
        <v>1</v>
      </c>
      <c r="AI67" s="38">
        <f t="shared" si="47"/>
        <v>0</v>
      </c>
      <c r="AJ67" s="170">
        <f t="shared" si="48"/>
        <v>30</v>
      </c>
      <c r="AK67" s="25">
        <f t="shared" si="49"/>
        <v>30</v>
      </c>
      <c r="AL67" s="167">
        <f t="shared" si="50"/>
        <v>30</v>
      </c>
      <c r="AN67" s="220">
        <f t="shared" si="51"/>
        <v>2</v>
      </c>
      <c r="AO67" s="26">
        <f t="shared" si="52"/>
        <v>1</v>
      </c>
      <c r="AP67" s="209">
        <f t="shared" si="53"/>
        <v>1</v>
      </c>
      <c r="AQ67" s="38" t="str">
        <f t="shared" si="54"/>
        <v>Better than 15 min</v>
      </c>
      <c r="AR67" s="25">
        <f t="shared" si="55"/>
        <v>15</v>
      </c>
      <c r="AS67" s="170">
        <f t="shared" si="56"/>
        <v>30</v>
      </c>
      <c r="AT67" s="253" t="str">
        <f t="shared" si="57"/>
        <v>Very Frequent</v>
      </c>
      <c r="AU67" s="251">
        <v>1</v>
      </c>
      <c r="AV67" s="41">
        <v>2</v>
      </c>
      <c r="AW67" s="207">
        <v>2</v>
      </c>
      <c r="AX67" s="175">
        <f aca="true" t="shared" si="66" ref="AX67:AY71">IF(AQ67="Better than 15 min",1,IF(AQ67=15,2,IF(AQ67=30,3,IF(AQ67=60,5,6))))</f>
        <v>1</v>
      </c>
      <c r="AY67" s="41">
        <f t="shared" si="66"/>
        <v>2</v>
      </c>
      <c r="AZ67" s="207">
        <f t="shared" si="61"/>
        <v>3</v>
      </c>
      <c r="BA67" s="38">
        <f t="shared" si="58"/>
        <v>0</v>
      </c>
      <c r="BB67" s="25">
        <f t="shared" si="59"/>
        <v>0</v>
      </c>
      <c r="BC67" s="167">
        <f t="shared" si="60"/>
        <v>1</v>
      </c>
    </row>
    <row r="68" spans="1:55" ht="12.75">
      <c r="A68" t="s">
        <v>320</v>
      </c>
      <c r="B68" s="79">
        <v>65</v>
      </c>
      <c r="C68" s="5" t="s">
        <v>321</v>
      </c>
      <c r="D68" s="6" t="s">
        <v>102</v>
      </c>
      <c r="E68" s="17" t="s">
        <v>326</v>
      </c>
      <c r="F68" s="6">
        <v>917</v>
      </c>
      <c r="G68" s="67">
        <f>VLOOKUP($A68,HH_Jobs_CorridorLength!$A$2:$F$116,5,FALSE)</f>
        <v>273.64755279398196</v>
      </c>
      <c r="H68" s="10">
        <f aca="true" t="shared" si="67" ref="H68:H99">IF(Households__Corridor_Mile&gt;HH_High_Thrshld,HH_High_Pts,IF(Households__Corridor_Mile&gt;HH_Mid_Thrshld,HH_Mid_Pts,IF(Households__Corridor_Mile&gt;HH_Low_Thrshld,HH_Low_Pts,0)))</f>
        <v>0</v>
      </c>
      <c r="I68" s="67">
        <f>VLOOKUP($A68,HH_Jobs_CorridorLength!$A$2:$F$116,6,FALSE)</f>
        <v>476.64834626864643</v>
      </c>
      <c r="J68" s="10">
        <f aca="true" t="shared" si="68" ref="J68:J99">IF(Jobs__CorridorMile&gt;Jobs_High_Thrshld,Jobs_High_Pts,IF(Jobs__CorridorMile&gt;Jobs_Mid_Thrshld,Jobs_Mid_pts,IF(Jobs__CorridorMile&gt;Jobs_Low_Thrshld,Jobs_Low_Pts,0)))</f>
        <v>0</v>
      </c>
      <c r="K68" s="319">
        <f>VLOOKUP(A68,Low_Income_Minority!$A$3:$J$115,8,FALSE)</f>
        <v>0.9</v>
      </c>
      <c r="L68" s="60">
        <f>IF(Minority&gt;=Minority_Thrshld,Min_Pts,0)</f>
        <v>5</v>
      </c>
      <c r="M68" s="321">
        <f>VLOOKUP(A68,Low_Income_Minority!$A$3:$J$115,10,FALSE)</f>
        <v>1</v>
      </c>
      <c r="N68" s="61">
        <f aca="true" t="shared" si="69" ref="N68:N99">IF(Low_Income&gt;=Demo_Thrshld,Demo_Pts,0)</f>
        <v>5</v>
      </c>
      <c r="O68" s="57" t="str">
        <f>VLOOKUP(A68,Primary_Connections_To_Centers!$A$3:$K$116,9,FALSE)</f>
        <v>No</v>
      </c>
      <c r="P68" s="60">
        <f aca="true" t="shared" si="70" ref="P68:P99">IF(O68=P$120,O$120,IF(O68&gt;P$121,O$121,0))</f>
        <v>0</v>
      </c>
      <c r="Q68" s="38" t="str">
        <f>VLOOKUP(A68,Primary_Connections_To_Centers!$A$3:$K$116,10,FALSE)</f>
        <v>No</v>
      </c>
      <c r="R68" s="60">
        <f aca="true" t="shared" si="71" ref="R68:R99">IF(Q68=R$120,Q$120,IF(Q68&gt;R$121,Q$121,0))</f>
        <v>0</v>
      </c>
      <c r="S68" s="65">
        <f aca="true" t="shared" si="72" ref="S68:S99">HH_Pts+Jobs_Pts+Minority_Pts+Low_Income_Pts+ActivityCntr_Pts+RegionalCntr_Pts</f>
        <v>10</v>
      </c>
      <c r="T68" s="65"/>
      <c r="U68" s="73"/>
      <c r="V68" s="64">
        <f aca="true" t="shared" si="73" ref="V68:V99">IF(RapidRide="YES","Better than 15 min",IF(Total_Score&gt;Peak_15min_Pts,LOS_15Min,IF(Total_Score&gt;Peak_30min_Pts,LOS_30Min,IF(Total_Score&gt;Peak_60min_Pts,LOS_60Min,0))))</f>
        <v>30</v>
      </c>
      <c r="W68" s="64">
        <f aca="true" t="shared" si="74" ref="W68:W99">IF(RapidRide="YES",15,IF(Total_Score&gt;OffPeak_15min_Pts,LOS_15Min,IF(Total_Score&gt;OffPeak_30min_Pts,LOS_30Min,IF(Total_Score&gt;OffPeak_60min_Pts,LOS_60Min,0))))</f>
        <v>30</v>
      </c>
      <c r="X68" s="64">
        <f aca="true" t="shared" si="75" ref="X68:X99">IF(RapidRide="YES",15,IF(Total_Score&gt;Night_15min_Pts,LOS_15Min,IF(Total_Score&gt;Night_30min_Pts,LOS_30Min,IF(Total_Score&gt;Night_60min_Pts,LOS_60Min,0))))</f>
        <v>0</v>
      </c>
      <c r="Y68" s="38">
        <f>VLOOKUP(A68,Step_II_Load_CostRecovery_Sum!$A$5:$T$117,14,FALSE)</f>
        <v>0.51</v>
      </c>
      <c r="Z68" s="167">
        <f>VLOOKUP($A68,Step_II_Load_CostRecovery_Sum!$A$5:$T$117,15,FALSE)</f>
        <v>0.43</v>
      </c>
      <c r="AA68" s="38">
        <f aca="true" t="shared" si="76" ref="AA68:AA99">IF(Peak_Load="N/A","N/A",IF(Peak_Load&gt;=Load_1.5,Load_2StepIncrease,IF(Peak_Load&gt;=Load_0.8,Load_1StepIncrease,0)))</f>
        <v>0</v>
      </c>
      <c r="AB68" s="167">
        <f aca="true" t="shared" si="77" ref="AB68:AB99">IF(OffPeak_Load="N/A","N/A",IF(OffPeak_Load&gt;=Load_1.5,Load_2StepIncrease,IF(OffPeak_Load&gt;=Load_0.8,Load_1StepIncrease,0)))</f>
        <v>0</v>
      </c>
      <c r="AC68" s="288">
        <f>VLOOKUP($A68,Step_II_Load_CostRecovery_Sum!$A$5:$AE$117,29,FALSE)</f>
        <v>0.06376411543287328</v>
      </c>
      <c r="AD68" s="289">
        <f>VLOOKUP($A68,Step_II_Load_CostRecovery_Sum!$A$5:$AE$117,30,FALSE)</f>
        <v>0.049184441656210796</v>
      </c>
      <c r="AE68" s="290" t="str">
        <f>VLOOKUP($A68,Step_II_Load_CostRecovery_Sum!$A$5:$AE$117,31,FALSE)</f>
        <v>N/A</v>
      </c>
      <c r="AF68" s="38">
        <f aca="true" t="shared" si="78" ref="AF68:AF99">IF(Peak_CostRecovery="N/A","N/A",IF(Peak_CostRecovery&gt;=CostRecovery100,CostRecovery100_StepIncrease,IF(Peak_CostRecovery&gt;=CostRecovery50,CostRecovery50_StepIncrease,0)))</f>
        <v>0</v>
      </c>
      <c r="AG68" s="25">
        <f aca="true" t="shared" si="79" ref="AG68:AG99">IF(OffPeak_CostRecovery="N/A","N/A",IF(OffPeak_CostRecovery&gt;=CostRecovery100,CostRecovery100_StepIncrease,IF(OffPeak_CostRecovery&gt;=CostRecovery50,CostRecovery50_StepIncrease,0)))</f>
        <v>0</v>
      </c>
      <c r="AH68" s="167" t="str">
        <f aca="true" t="shared" si="80" ref="AH68:AH99">IF(Night_CostRecovery="N/A","N/A",IF(Night_CostRecovery&gt;=CostRecovery100,CostRecovery100_StepIncrease,IF(Night_CostRecovery&gt;=CostRecovery33,CostRecovery33_StepIncrease,0)))</f>
        <v>N/A</v>
      </c>
      <c r="AI68" s="38">
        <f aca="true" t="shared" si="81" ref="AI68:AI99">IF(RegionalCntr_Pts=5,60,0)</f>
        <v>0</v>
      </c>
      <c r="AJ68" s="170" t="str">
        <f aca="true" t="shared" si="82" ref="AJ68:AJ99">IF(Night_CostRecovery="N/A","N/A",IF(Night_CostRecovery&gt;=CostRecovery16,CostRecovery16_StepIncrease,IF(Night_CostRecovery&gt;=CostRecovery8,CostRecovery8_StepIncrease,0)))</f>
        <v>N/A</v>
      </c>
      <c r="AK68" s="25">
        <f aca="true" t="shared" si="83" ref="AK68:AK99">IF(FinalPeak_Service=15,30,IF(FinalPeak_Service="Better than 15 min",30,0))</f>
        <v>0</v>
      </c>
      <c r="AL68" s="167">
        <f aca="true" t="shared" si="84" ref="AL68:AL99">IF(AK68=30,30,IF(AJ68=30,30,IF(AJ68=60,60,IF(AI68=60,60,0))))</f>
        <v>0</v>
      </c>
      <c r="AN68" s="220">
        <f aca="true" t="shared" si="85" ref="AN68:AN99">IF(AA68=2,2,IF(AF68=2,2,IF(AF68=1,1,IF(AA68=1,1,0))))</f>
        <v>0</v>
      </c>
      <c r="AO68" s="26">
        <f aca="true" t="shared" si="86" ref="AO68:AO99">IF(AB68=2,2,IF(AG68=2,2,IF(AG68=1,1,IF(AB68=1,1,0))))</f>
        <v>0</v>
      </c>
      <c r="AP68" s="209">
        <f aca="true" t="shared" si="87" ref="AP68:AP99">IF(AC68=2,2,IF(AH68=2,2,IF(AH68=1,1,IF(AC68=1,1,0))))</f>
        <v>0</v>
      </c>
      <c r="AQ68" s="38">
        <f aca="true" t="shared" si="88" ref="AQ68:AQ99">IF(V68="Better than 15 min",V68,IF(AN68=2,IF(V68&lt;=30,"Better than 15 min",IF(V68=60,15,30)),IF(AN68=1,IF(V68=15,"Better than 15 min",IF(V68=30,15,30)),V68)))</f>
        <v>30</v>
      </c>
      <c r="AR68" s="25">
        <f aca="true" t="shared" si="89" ref="AR68:AR99">IF(AO68=2,IF(W68&lt;=30,"Better than 15 min",IF(W68=60,15,30)),IF(AO68=1,IF(W68=15,"Better than 15 min",IF(W68=30,15,30)),W68))</f>
        <v>30</v>
      </c>
      <c r="AS68" s="170">
        <f aca="true" t="shared" si="90" ref="AS68:AS99">IF(AP68=2,IF(X68&gt;=30,"Better than 15 min",IF(X68=60,15,30)),IF(AP68=1,IF(X68=15,"Better than 15 min",IF(X68=30,15,30)),IF(X68=0,AL68,IF(AL68&lt;X68,AL68,X68))))</f>
        <v>0</v>
      </c>
      <c r="AT68" s="253" t="str">
        <f aca="true" t="shared" si="91" ref="AT68:AT99">IF(AX68&lt;=2,IF(AY68&lt;=2,"Very Frequent","Frequent"),IF(AX68&lt;=4,"Local","Hourly"))</f>
        <v>Local</v>
      </c>
      <c r="AU68" s="251">
        <v>5</v>
      </c>
      <c r="AV68" s="41">
        <v>5</v>
      </c>
      <c r="AW68" s="207">
        <v>6</v>
      </c>
      <c r="AX68" s="175">
        <f t="shared" si="66"/>
        <v>3</v>
      </c>
      <c r="AY68" s="41">
        <f t="shared" si="66"/>
        <v>3</v>
      </c>
      <c r="AZ68" s="207">
        <f t="shared" si="61"/>
        <v>6</v>
      </c>
      <c r="BA68" s="38">
        <f aca="true" t="shared" si="92" ref="BA68:BA99">AX68-AU68</f>
        <v>-2</v>
      </c>
      <c r="BB68" s="25">
        <f aca="true" t="shared" si="93" ref="BB68:BB99">AY68-AV68</f>
        <v>-2</v>
      </c>
      <c r="BC68" s="167">
        <f aca="true" t="shared" si="94" ref="BC68:BC99">AZ68-AW68</f>
        <v>0</v>
      </c>
    </row>
    <row r="69" spans="1:55" ht="12.75">
      <c r="A69" t="s">
        <v>250</v>
      </c>
      <c r="B69" s="79">
        <v>66</v>
      </c>
      <c r="C69" s="5" t="s">
        <v>251</v>
      </c>
      <c r="D69" s="6" t="s">
        <v>98</v>
      </c>
      <c r="E69" s="17" t="s">
        <v>252</v>
      </c>
      <c r="F69" s="6">
        <v>909</v>
      </c>
      <c r="G69" s="67">
        <f>VLOOKUP($A69,HH_Jobs_CorridorLength!$A$2:$F$116,5,FALSE)</f>
        <v>916.3913115223062</v>
      </c>
      <c r="H69" s="62">
        <f t="shared" si="67"/>
        <v>0</v>
      </c>
      <c r="I69" s="67">
        <f>VLOOKUP($A69,HH_Jobs_CorridorLength!$A$2:$F$116,6,FALSE)</f>
        <v>494.2603248406911</v>
      </c>
      <c r="J69" s="62">
        <f t="shared" si="68"/>
        <v>0</v>
      </c>
      <c r="K69" s="319">
        <f>VLOOKUP(A69,Low_Income_Minority!$A$3:$J$115,8,FALSE)</f>
        <v>0.8979591836734694</v>
      </c>
      <c r="L69" s="60">
        <f>IF(Minority&gt;=Minority_Thrshld,Min_Pts,0)</f>
        <v>5</v>
      </c>
      <c r="M69" s="321">
        <f>VLOOKUP(A69,Low_Income_Minority!$A$3:$J$115,10,FALSE)</f>
        <v>1</v>
      </c>
      <c r="N69" s="61">
        <f t="shared" si="69"/>
        <v>5</v>
      </c>
      <c r="O69" s="57" t="str">
        <f>VLOOKUP(A69,Primary_Connections_To_Centers!$A$3:$K$116,9,FALSE)</f>
        <v>No</v>
      </c>
      <c r="P69" s="60">
        <f t="shared" si="70"/>
        <v>0</v>
      </c>
      <c r="Q69" s="38" t="str">
        <f>VLOOKUP(A69,Primary_Connections_To_Centers!$A$3:$K$116,10,FALSE)</f>
        <v>No</v>
      </c>
      <c r="R69" s="60">
        <f t="shared" si="71"/>
        <v>0</v>
      </c>
      <c r="S69" s="65">
        <f t="shared" si="72"/>
        <v>10</v>
      </c>
      <c r="T69" s="65"/>
      <c r="U69" s="73"/>
      <c r="V69" s="64">
        <f t="shared" si="73"/>
        <v>30</v>
      </c>
      <c r="W69" s="64">
        <f t="shared" si="74"/>
        <v>30</v>
      </c>
      <c r="X69" s="64">
        <f t="shared" si="75"/>
        <v>0</v>
      </c>
      <c r="Y69" s="38">
        <f>VLOOKUP(A69,Step_II_Load_CostRecovery_Sum!$A$5:$T$117,14,FALSE)</f>
        <v>0.33</v>
      </c>
      <c r="Z69" s="167">
        <f>VLOOKUP($A69,Step_II_Load_CostRecovery_Sum!$A$5:$T$117,15,FALSE)</f>
        <v>0.33</v>
      </c>
      <c r="AA69" s="38">
        <f t="shared" si="76"/>
        <v>0</v>
      </c>
      <c r="AB69" s="167">
        <f t="shared" si="77"/>
        <v>0</v>
      </c>
      <c r="AC69" s="288">
        <f>VLOOKUP($A69,Step_II_Load_CostRecovery_Sum!$A$5:$AE$117,29,FALSE)</f>
        <v>0.05041405269761607</v>
      </c>
      <c r="AD69" s="289">
        <f>VLOOKUP($A69,Step_II_Load_CostRecovery_Sum!$A$5:$AE$117,30,FALSE)</f>
        <v>0.037503136762860725</v>
      </c>
      <c r="AE69" s="290" t="str">
        <f>VLOOKUP($A69,Step_II_Load_CostRecovery_Sum!$A$5:$AE$117,31,FALSE)</f>
        <v>N/A</v>
      </c>
      <c r="AF69" s="38">
        <f t="shared" si="78"/>
        <v>0</v>
      </c>
      <c r="AG69" s="25">
        <f t="shared" si="79"/>
        <v>0</v>
      </c>
      <c r="AH69" s="167" t="str">
        <f t="shared" si="80"/>
        <v>N/A</v>
      </c>
      <c r="AI69" s="38">
        <f t="shared" si="81"/>
        <v>0</v>
      </c>
      <c r="AJ69" s="170" t="str">
        <f t="shared" si="82"/>
        <v>N/A</v>
      </c>
      <c r="AK69" s="25">
        <f t="shared" si="83"/>
        <v>0</v>
      </c>
      <c r="AL69" s="167">
        <f t="shared" si="84"/>
        <v>0</v>
      </c>
      <c r="AN69" s="220">
        <f t="shared" si="85"/>
        <v>0</v>
      </c>
      <c r="AO69" s="26">
        <f t="shared" si="86"/>
        <v>0</v>
      </c>
      <c r="AP69" s="209">
        <f t="shared" si="87"/>
        <v>0</v>
      </c>
      <c r="AQ69" s="38">
        <f t="shared" si="88"/>
        <v>30</v>
      </c>
      <c r="AR69" s="25">
        <f t="shared" si="89"/>
        <v>30</v>
      </c>
      <c r="AS69" s="170">
        <f t="shared" si="90"/>
        <v>0</v>
      </c>
      <c r="AT69" s="253" t="str">
        <f t="shared" si="91"/>
        <v>Local</v>
      </c>
      <c r="AU69" s="251">
        <v>5</v>
      </c>
      <c r="AV69" s="41">
        <v>5</v>
      </c>
      <c r="AW69" s="207">
        <v>6</v>
      </c>
      <c r="AX69" s="175">
        <f t="shared" si="66"/>
        <v>3</v>
      </c>
      <c r="AY69" s="41">
        <f t="shared" si="66"/>
        <v>3</v>
      </c>
      <c r="AZ69" s="207">
        <f aca="true" t="shared" si="95" ref="AZ69:AZ100">IF(AS69="Better than 15 min",1,IF(AS69=15,2,IF(AS69=30,3,IF(AS69=60,5,6))))</f>
        <v>6</v>
      </c>
      <c r="BA69" s="38">
        <f t="shared" si="92"/>
        <v>-2</v>
      </c>
      <c r="BB69" s="25">
        <f t="shared" si="93"/>
        <v>-2</v>
      </c>
      <c r="BC69" s="167">
        <f t="shared" si="94"/>
        <v>0</v>
      </c>
    </row>
    <row r="70" spans="1:55" ht="12.75">
      <c r="A70" t="s">
        <v>248</v>
      </c>
      <c r="B70" s="79">
        <v>67</v>
      </c>
      <c r="C70" s="5" t="s">
        <v>132</v>
      </c>
      <c r="D70" s="6" t="s">
        <v>98</v>
      </c>
      <c r="E70" s="17" t="s">
        <v>249</v>
      </c>
      <c r="F70" s="6">
        <v>908</v>
      </c>
      <c r="G70" s="67">
        <f>VLOOKUP($A70,HH_Jobs_CorridorLength!$A$2:$F$116,5,FALSE)</f>
        <v>860.317200393237</v>
      </c>
      <c r="H70" s="62">
        <f t="shared" si="67"/>
        <v>0</v>
      </c>
      <c r="I70" s="67">
        <f>VLOOKUP($A70,HH_Jobs_CorridorLength!$A$2:$F$116,6,FALSE)</f>
        <v>480.747162934062</v>
      </c>
      <c r="J70" s="62">
        <f t="shared" si="68"/>
        <v>0</v>
      </c>
      <c r="K70" s="319">
        <f>VLOOKUP(A70,Low_Income_Minority!$A$3:$J$115,8,FALSE)</f>
        <v>0.8709677419354839</v>
      </c>
      <c r="L70" s="60">
        <f>IF(Minority&gt;=Minority_Thrshld,Min_Pts,0)</f>
        <v>5</v>
      </c>
      <c r="M70" s="321">
        <f>VLOOKUP(A70,Low_Income_Minority!$A$3:$J$115,10,FALSE)</f>
        <v>0.9032258064516129</v>
      </c>
      <c r="N70" s="61">
        <f t="shared" si="69"/>
        <v>5</v>
      </c>
      <c r="O70" s="57" t="str">
        <f>VLOOKUP(A70,Primary_Connections_To_Centers!$A$3:$K$116,9,FALSE)</f>
        <v>No</v>
      </c>
      <c r="P70" s="60">
        <f t="shared" si="70"/>
        <v>0</v>
      </c>
      <c r="Q70" s="38" t="str">
        <f>VLOOKUP(A70,Primary_Connections_To_Centers!$A$3:$K$116,10,FALSE)</f>
        <v>No</v>
      </c>
      <c r="R70" s="60">
        <f t="shared" si="71"/>
        <v>0</v>
      </c>
      <c r="S70" s="65">
        <f t="shared" si="72"/>
        <v>10</v>
      </c>
      <c r="T70" s="65"/>
      <c r="U70" s="73"/>
      <c r="V70" s="64">
        <f t="shared" si="73"/>
        <v>30</v>
      </c>
      <c r="W70" s="64">
        <f t="shared" si="74"/>
        <v>30</v>
      </c>
      <c r="X70" s="64">
        <f t="shared" si="75"/>
        <v>0</v>
      </c>
      <c r="Y70" s="38">
        <f>VLOOKUP(A70,Step_II_Load_CostRecovery_Sum!$A$5:$T$117,14,FALSE)</f>
        <v>0.38</v>
      </c>
      <c r="Z70" s="167">
        <f>VLOOKUP($A70,Step_II_Load_CostRecovery_Sum!$A$5:$T$117,15,FALSE)</f>
        <v>0.3</v>
      </c>
      <c r="AA70" s="38">
        <f t="shared" si="76"/>
        <v>0</v>
      </c>
      <c r="AB70" s="167">
        <f t="shared" si="77"/>
        <v>0</v>
      </c>
      <c r="AC70" s="288">
        <f>VLOOKUP($A70,Step_II_Load_CostRecovery_Sum!$A$5:$AE$117,29,FALSE)</f>
        <v>0.043036386449184456</v>
      </c>
      <c r="AD70" s="289">
        <f>VLOOKUP($A70,Step_II_Load_CostRecovery_Sum!$A$5:$AE$117,30,FALSE)</f>
        <v>0.03004861982434128</v>
      </c>
      <c r="AE70" s="290" t="str">
        <f>VLOOKUP($A70,Step_II_Load_CostRecovery_Sum!$A$5:$AE$117,31,FALSE)</f>
        <v>N/A</v>
      </c>
      <c r="AF70" s="38">
        <f t="shared" si="78"/>
        <v>0</v>
      </c>
      <c r="AG70" s="25">
        <f t="shared" si="79"/>
        <v>0</v>
      </c>
      <c r="AH70" s="167" t="str">
        <f t="shared" si="80"/>
        <v>N/A</v>
      </c>
      <c r="AI70" s="38">
        <f t="shared" si="81"/>
        <v>0</v>
      </c>
      <c r="AJ70" s="170" t="str">
        <f t="shared" si="82"/>
        <v>N/A</v>
      </c>
      <c r="AK70" s="25">
        <f t="shared" si="83"/>
        <v>0</v>
      </c>
      <c r="AL70" s="167">
        <f t="shared" si="84"/>
        <v>0</v>
      </c>
      <c r="AN70" s="220">
        <f t="shared" si="85"/>
        <v>0</v>
      </c>
      <c r="AO70" s="26">
        <f t="shared" si="86"/>
        <v>0</v>
      </c>
      <c r="AP70" s="209">
        <f t="shared" si="87"/>
        <v>0</v>
      </c>
      <c r="AQ70" s="38">
        <f t="shared" si="88"/>
        <v>30</v>
      </c>
      <c r="AR70" s="25">
        <f t="shared" si="89"/>
        <v>30</v>
      </c>
      <c r="AS70" s="170">
        <f t="shared" si="90"/>
        <v>0</v>
      </c>
      <c r="AT70" s="253" t="str">
        <f t="shared" si="91"/>
        <v>Local</v>
      </c>
      <c r="AU70" s="251">
        <v>5</v>
      </c>
      <c r="AV70" s="41">
        <v>5</v>
      </c>
      <c r="AW70" s="207">
        <v>6</v>
      </c>
      <c r="AX70" s="175">
        <f t="shared" si="66"/>
        <v>3</v>
      </c>
      <c r="AY70" s="41">
        <f t="shared" si="66"/>
        <v>3</v>
      </c>
      <c r="AZ70" s="207">
        <f t="shared" si="95"/>
        <v>6</v>
      </c>
      <c r="BA70" s="38">
        <f t="shared" si="92"/>
        <v>-2</v>
      </c>
      <c r="BB70" s="25">
        <f t="shared" si="93"/>
        <v>-2</v>
      </c>
      <c r="BC70" s="167">
        <f t="shared" si="94"/>
        <v>0</v>
      </c>
    </row>
    <row r="71" spans="1:55" ht="12.75">
      <c r="A71" s="21" t="s">
        <v>180</v>
      </c>
      <c r="B71" s="79">
        <v>68</v>
      </c>
      <c r="C71" s="5" t="s">
        <v>51</v>
      </c>
      <c r="D71" s="6" t="s">
        <v>171</v>
      </c>
      <c r="E71" s="17" t="s">
        <v>181</v>
      </c>
      <c r="F71" s="6">
        <v>155</v>
      </c>
      <c r="G71" s="69">
        <f>VLOOKUP($A71,HH_Jobs_CorridorLength!$A$2:$F$116,5,FALSE)</f>
        <v>462.52709688880424</v>
      </c>
      <c r="H71" s="10">
        <f t="shared" si="67"/>
        <v>0</v>
      </c>
      <c r="I71" s="69">
        <f>VLOOKUP($A71,HH_Jobs_CorridorLength!$A$2:$F$116,6,FALSE)</f>
        <v>1141.48314593422</v>
      </c>
      <c r="J71" s="10">
        <f t="shared" si="68"/>
        <v>0</v>
      </c>
      <c r="K71" s="319">
        <f>VLOOKUP(A71,Low_Income_Minority!$A$3:$J$115,8,FALSE)</f>
        <v>1</v>
      </c>
      <c r="L71" s="60">
        <f>IF(Minority&gt;=Minority_Thrshld,Min_Pts,0)</f>
        <v>5</v>
      </c>
      <c r="M71" s="319">
        <f>VLOOKUP(A71,Low_Income_Minority!$A$3:$J$115,10,FALSE)</f>
        <v>0.37907375538301613</v>
      </c>
      <c r="N71" s="61">
        <f t="shared" si="69"/>
        <v>0</v>
      </c>
      <c r="O71" s="12" t="str">
        <f>VLOOKUP(A71,Primary_Connections_To_Centers!$A$3:$K$116,9,FALSE)</f>
        <v>Yes</v>
      </c>
      <c r="P71" s="60">
        <f t="shared" si="70"/>
        <v>5</v>
      </c>
      <c r="Q71" s="5" t="str">
        <f>VLOOKUP(A71,Primary_Connections_To_Centers!$A$3:$K$116,10,FALSE)</f>
        <v>No</v>
      </c>
      <c r="R71" s="60">
        <f t="shared" si="71"/>
        <v>0</v>
      </c>
      <c r="S71" s="174">
        <f t="shared" si="72"/>
        <v>10</v>
      </c>
      <c r="T71" s="174"/>
      <c r="U71" s="280"/>
      <c r="V71" s="7">
        <f t="shared" si="73"/>
        <v>30</v>
      </c>
      <c r="W71" s="7">
        <f t="shared" si="74"/>
        <v>30</v>
      </c>
      <c r="X71" s="7">
        <f t="shared" si="75"/>
        <v>0</v>
      </c>
      <c r="Y71" s="5">
        <f>VLOOKUP(A71,Step_II_Load_CostRecovery_Sum!$A$5:$T$117,14,FALSE)</f>
        <v>0.47</v>
      </c>
      <c r="Z71" s="282">
        <f>VLOOKUP($A71,Step_II_Load_CostRecovery_Sum!$A$5:$T$117,15,FALSE)</f>
        <v>0.4</v>
      </c>
      <c r="AA71" s="5">
        <f t="shared" si="76"/>
        <v>0</v>
      </c>
      <c r="AB71" s="282">
        <f t="shared" si="77"/>
        <v>0</v>
      </c>
      <c r="AC71" s="343">
        <f>VLOOKUP($A71,Step_II_Load_CostRecovery_Sum!$A$5:$AE$117,29,FALSE)</f>
        <v>0.06675031367628607</v>
      </c>
      <c r="AD71" s="344">
        <f>VLOOKUP($A71,Step_II_Load_CostRecovery_Sum!$A$5:$AE$117,30,FALSE)</f>
        <v>0.06340181932245921</v>
      </c>
      <c r="AE71" s="290" t="str">
        <f>VLOOKUP($A71,Step_II_Load_CostRecovery_Sum!$A$5:$AE$117,31,FALSE)</f>
        <v>N/A</v>
      </c>
      <c r="AF71" s="5">
        <f t="shared" si="78"/>
        <v>0</v>
      </c>
      <c r="AG71" s="6">
        <f t="shared" si="79"/>
        <v>0</v>
      </c>
      <c r="AH71" s="282" t="str">
        <f t="shared" si="80"/>
        <v>N/A</v>
      </c>
      <c r="AI71" s="5">
        <f t="shared" si="81"/>
        <v>0</v>
      </c>
      <c r="AJ71" s="17" t="str">
        <f t="shared" si="82"/>
        <v>N/A</v>
      </c>
      <c r="AK71" s="6">
        <f t="shared" si="83"/>
        <v>0</v>
      </c>
      <c r="AL71" s="282">
        <f t="shared" si="84"/>
        <v>0</v>
      </c>
      <c r="AM71" s="21"/>
      <c r="AN71" s="283">
        <f t="shared" si="85"/>
        <v>0</v>
      </c>
      <c r="AO71" s="266">
        <f t="shared" si="86"/>
        <v>0</v>
      </c>
      <c r="AP71" s="209">
        <f t="shared" si="87"/>
        <v>0</v>
      </c>
      <c r="AQ71" s="5">
        <f t="shared" si="88"/>
        <v>30</v>
      </c>
      <c r="AR71" s="6">
        <f t="shared" si="89"/>
        <v>30</v>
      </c>
      <c r="AS71" s="17">
        <f t="shared" si="90"/>
        <v>0</v>
      </c>
      <c r="AT71" s="31" t="str">
        <f t="shared" si="91"/>
        <v>Local</v>
      </c>
      <c r="AU71" s="284">
        <v>5</v>
      </c>
      <c r="AV71" s="182">
        <v>5</v>
      </c>
      <c r="AW71" s="285">
        <v>6</v>
      </c>
      <c r="AX71" s="281">
        <f t="shared" si="66"/>
        <v>3</v>
      </c>
      <c r="AY71" s="182">
        <f t="shared" si="66"/>
        <v>3</v>
      </c>
      <c r="AZ71" s="285">
        <f t="shared" si="95"/>
        <v>6</v>
      </c>
      <c r="BA71" s="5">
        <f t="shared" si="92"/>
        <v>-2</v>
      </c>
      <c r="BB71" s="6">
        <f t="shared" si="93"/>
        <v>-2</v>
      </c>
      <c r="BC71" s="282">
        <f t="shared" si="94"/>
        <v>0</v>
      </c>
    </row>
    <row r="72" spans="1:55" ht="12.75">
      <c r="A72" t="s">
        <v>243</v>
      </c>
      <c r="B72" s="79">
        <v>69</v>
      </c>
      <c r="C72" s="5" t="s">
        <v>244</v>
      </c>
      <c r="D72" s="6" t="s">
        <v>92</v>
      </c>
      <c r="E72" s="17" t="s">
        <v>245</v>
      </c>
      <c r="F72" s="6">
        <v>901</v>
      </c>
      <c r="G72" s="67">
        <f>VLOOKUP($A72,HH_Jobs_CorridorLength!$A$2:$F$116,5,FALSE)</f>
        <v>713.3292354257923</v>
      </c>
      <c r="H72" s="62">
        <f t="shared" si="67"/>
        <v>0</v>
      </c>
      <c r="I72" s="67">
        <f>VLOOKUP($A72,HH_Jobs_CorridorLength!$A$2:$F$116,6,FALSE)</f>
        <v>548.8663053989529</v>
      </c>
      <c r="J72" s="62">
        <f t="shared" si="68"/>
        <v>0</v>
      </c>
      <c r="K72" s="319">
        <f>VLOOKUP(A72,Low_Income_Minority!$A$3:$J$115,8,FALSE)</f>
        <v>0.9736842105263158</v>
      </c>
      <c r="L72" s="60">
        <f>IF(Minority&gt;=Minority_Thrshld,Min_Pts,0)</f>
        <v>5</v>
      </c>
      <c r="M72" s="321">
        <f>VLOOKUP(A72,Low_Income_Minority!$A$3:$J$115,10,FALSE)</f>
        <v>0.868421052631579</v>
      </c>
      <c r="N72" s="61">
        <f t="shared" si="69"/>
        <v>5</v>
      </c>
      <c r="O72" s="57" t="str">
        <f>VLOOKUP(A72,Primary_Connections_To_Centers!$A$3:$K$116,9,FALSE)</f>
        <v>No</v>
      </c>
      <c r="P72" s="60">
        <f t="shared" si="70"/>
        <v>0</v>
      </c>
      <c r="Q72" s="38" t="str">
        <f>VLOOKUP(A72,Primary_Connections_To_Centers!$A$3:$K$116,10,FALSE)</f>
        <v>No</v>
      </c>
      <c r="R72" s="60">
        <f t="shared" si="71"/>
        <v>0</v>
      </c>
      <c r="S72" s="65">
        <f t="shared" si="72"/>
        <v>10</v>
      </c>
      <c r="T72" s="65"/>
      <c r="U72" s="73"/>
      <c r="V72" s="64">
        <f t="shared" si="73"/>
        <v>30</v>
      </c>
      <c r="W72" s="64">
        <f t="shared" si="74"/>
        <v>30</v>
      </c>
      <c r="X72" s="64">
        <f t="shared" si="75"/>
        <v>0</v>
      </c>
      <c r="Y72" s="38">
        <f>VLOOKUP(A72,Step_II_Load_CostRecovery_Sum!$A$5:$T$117,14,FALSE)</f>
        <v>0.59</v>
      </c>
      <c r="Z72" s="167">
        <f>VLOOKUP($A72,Step_II_Load_CostRecovery_Sum!$A$5:$T$117,15,FALSE)</f>
        <v>0.38</v>
      </c>
      <c r="AA72" s="38">
        <f t="shared" si="76"/>
        <v>0</v>
      </c>
      <c r="AB72" s="167">
        <f t="shared" si="77"/>
        <v>0</v>
      </c>
      <c r="AC72" s="288">
        <f>VLOOKUP($A72,Step_II_Load_CostRecovery_Sum!$A$5:$AE$117,29,FALSE)</f>
        <v>0.18233375156838147</v>
      </c>
      <c r="AD72" s="289">
        <f>VLOOKUP($A72,Step_II_Load_CostRecovery_Sum!$A$5:$AE$117,30,FALSE)</f>
        <v>0.14970514429109158</v>
      </c>
      <c r="AE72" s="290">
        <f>VLOOKUP($A72,Step_II_Load_CostRecovery_Sum!$A$5:$AE$117,31,FALSE)</f>
        <v>0.12311480552070263</v>
      </c>
      <c r="AF72" s="38">
        <f t="shared" si="78"/>
        <v>0</v>
      </c>
      <c r="AG72" s="25">
        <f t="shared" si="79"/>
        <v>0</v>
      </c>
      <c r="AH72" s="167">
        <f t="shared" si="80"/>
        <v>0</v>
      </c>
      <c r="AI72" s="38">
        <f t="shared" si="81"/>
        <v>0</v>
      </c>
      <c r="AJ72" s="170">
        <f t="shared" si="82"/>
        <v>60</v>
      </c>
      <c r="AK72" s="25">
        <f t="shared" si="83"/>
        <v>0</v>
      </c>
      <c r="AL72" s="167">
        <f t="shared" si="84"/>
        <v>60</v>
      </c>
      <c r="AN72" s="220">
        <f t="shared" si="85"/>
        <v>0</v>
      </c>
      <c r="AO72" s="26">
        <f t="shared" si="86"/>
        <v>0</v>
      </c>
      <c r="AP72" s="209">
        <f t="shared" si="87"/>
        <v>0</v>
      </c>
      <c r="AQ72" s="38">
        <f t="shared" si="88"/>
        <v>30</v>
      </c>
      <c r="AR72" s="25">
        <f t="shared" si="89"/>
        <v>30</v>
      </c>
      <c r="AS72" s="170">
        <f t="shared" si="90"/>
        <v>60</v>
      </c>
      <c r="AT72" s="253" t="str">
        <f t="shared" si="91"/>
        <v>Local</v>
      </c>
      <c r="AU72" s="251">
        <v>3</v>
      </c>
      <c r="AV72" s="41">
        <v>3</v>
      </c>
      <c r="AW72" s="207">
        <v>5</v>
      </c>
      <c r="AX72" s="175">
        <f aca="true" t="shared" si="96" ref="AX72:AX84">IF(AQ72="Better than 15 min",1,IF(AQ72=15,2,IF(AQ72=30,3,IF(AQ72=60,5,0))))</f>
        <v>3</v>
      </c>
      <c r="AY72" s="41">
        <f aca="true" t="shared" si="97" ref="AY72:AY84">IF(AR72="Better than 15 min",1,IF(AR72=15,2,IF(AR72=30,3,IF(AR72=60,5,0))))</f>
        <v>3</v>
      </c>
      <c r="AZ72" s="207">
        <f t="shared" si="95"/>
        <v>5</v>
      </c>
      <c r="BA72" s="38">
        <f t="shared" si="92"/>
        <v>0</v>
      </c>
      <c r="BB72" s="25">
        <f t="shared" si="93"/>
        <v>0</v>
      </c>
      <c r="BC72" s="167">
        <f t="shared" si="94"/>
        <v>0</v>
      </c>
    </row>
    <row r="73" spans="1:55" ht="12.75">
      <c r="A73" t="s">
        <v>236</v>
      </c>
      <c r="B73" s="79">
        <v>70</v>
      </c>
      <c r="C73" s="5" t="s">
        <v>105</v>
      </c>
      <c r="D73" s="6" t="s">
        <v>21</v>
      </c>
      <c r="E73" s="17" t="s">
        <v>237</v>
      </c>
      <c r="F73" s="10">
        <v>75</v>
      </c>
      <c r="G73" s="67">
        <f>VLOOKUP($A73,HH_Jobs_CorridorLength!$A$2:$F$116,5,FALSE)</f>
        <v>1021.9799436346436</v>
      </c>
      <c r="H73" s="62">
        <f t="shared" si="67"/>
        <v>0</v>
      </c>
      <c r="I73" s="67">
        <f>VLOOKUP($A73,HH_Jobs_CorridorLength!$A$2:$F$116,6,FALSE)</f>
        <v>4544.114336744309</v>
      </c>
      <c r="J73" s="62">
        <f t="shared" si="68"/>
        <v>0</v>
      </c>
      <c r="K73" s="319">
        <f>VLOOKUP(A73,Low_Income_Minority!$A$3:$J$115,8,FALSE)</f>
        <v>0.344666009367436</v>
      </c>
      <c r="L73" s="60">
        <f>IF(Minority&gt;=Minority_Thrshld,Min_Pts,0)</f>
        <v>0</v>
      </c>
      <c r="M73" s="321">
        <f>VLOOKUP(A73,Low_Income_Minority!$A$3:$J$115,10,FALSE)</f>
        <v>0.6494503951719205</v>
      </c>
      <c r="N73" s="61">
        <f t="shared" si="69"/>
        <v>5</v>
      </c>
      <c r="O73" s="57" t="str">
        <f>VLOOKUP(A73,Primary_Connections_To_Centers!$A$3:$K$116,9,FALSE)</f>
        <v>Yes</v>
      </c>
      <c r="P73" s="60">
        <f t="shared" si="70"/>
        <v>5</v>
      </c>
      <c r="Q73" s="38" t="str">
        <f>VLOOKUP(A73,Primary_Connections_To_Centers!$A$3:$K$116,10,FALSE)</f>
        <v>No</v>
      </c>
      <c r="R73" s="60">
        <f t="shared" si="71"/>
        <v>0</v>
      </c>
      <c r="S73" s="65">
        <f t="shared" si="72"/>
        <v>10</v>
      </c>
      <c r="T73" s="65"/>
      <c r="U73" s="73"/>
      <c r="V73" s="64">
        <f t="shared" si="73"/>
        <v>30</v>
      </c>
      <c r="W73" s="64">
        <f t="shared" si="74"/>
        <v>30</v>
      </c>
      <c r="X73" s="64">
        <f t="shared" si="75"/>
        <v>0</v>
      </c>
      <c r="Y73" s="38">
        <f>VLOOKUP(A73,Step_II_Load_CostRecovery_Sum!$A$5:$T$117,14,FALSE)</f>
        <v>0.86</v>
      </c>
      <c r="Z73" s="167">
        <f>VLOOKUP($A73,Step_II_Load_CostRecovery_Sum!$A$5:$T$117,15,FALSE)</f>
        <v>0.67</v>
      </c>
      <c r="AA73" s="38">
        <f t="shared" si="76"/>
        <v>1</v>
      </c>
      <c r="AB73" s="167">
        <f t="shared" si="77"/>
        <v>0</v>
      </c>
      <c r="AC73" s="288">
        <f>VLOOKUP($A73,Step_II_Load_CostRecovery_Sum!$A$5:$AE$117,29,FALSE)</f>
        <v>0.19375156838143037</v>
      </c>
      <c r="AD73" s="289">
        <f>VLOOKUP($A73,Step_II_Load_CostRecovery_Sum!$A$5:$AE$117,30,FALSE)</f>
        <v>0.32046737766624844</v>
      </c>
      <c r="AE73" s="290">
        <f>VLOOKUP($A73,Step_II_Load_CostRecovery_Sum!$A$5:$AE$117,31,FALSE)</f>
        <v>0.17913895859473022</v>
      </c>
      <c r="AF73" s="38">
        <f t="shared" si="78"/>
        <v>0</v>
      </c>
      <c r="AG73" s="25">
        <f t="shared" si="79"/>
        <v>0</v>
      </c>
      <c r="AH73" s="167">
        <f t="shared" si="80"/>
        <v>0</v>
      </c>
      <c r="AI73" s="38">
        <f t="shared" si="81"/>
        <v>0</v>
      </c>
      <c r="AJ73" s="170">
        <f t="shared" si="82"/>
        <v>30</v>
      </c>
      <c r="AK73" s="25">
        <f t="shared" si="83"/>
        <v>30</v>
      </c>
      <c r="AL73" s="167">
        <f t="shared" si="84"/>
        <v>30</v>
      </c>
      <c r="AN73" s="220">
        <f t="shared" si="85"/>
        <v>1</v>
      </c>
      <c r="AO73" s="26">
        <f t="shared" si="86"/>
        <v>0</v>
      </c>
      <c r="AP73" s="209">
        <f t="shared" si="87"/>
        <v>0</v>
      </c>
      <c r="AQ73" s="38">
        <f t="shared" si="88"/>
        <v>15</v>
      </c>
      <c r="AR73" s="25">
        <f t="shared" si="89"/>
        <v>30</v>
      </c>
      <c r="AS73" s="170">
        <f t="shared" si="90"/>
        <v>30</v>
      </c>
      <c r="AT73" s="253" t="str">
        <f t="shared" si="91"/>
        <v>Frequent</v>
      </c>
      <c r="AU73" s="251">
        <v>2</v>
      </c>
      <c r="AV73" s="41">
        <v>3</v>
      </c>
      <c r="AW73" s="207">
        <v>3</v>
      </c>
      <c r="AX73" s="175">
        <f t="shared" si="96"/>
        <v>2</v>
      </c>
      <c r="AY73" s="41">
        <f t="shared" si="97"/>
        <v>3</v>
      </c>
      <c r="AZ73" s="207">
        <f t="shared" si="95"/>
        <v>3</v>
      </c>
      <c r="BA73" s="38">
        <f t="shared" si="92"/>
        <v>0</v>
      </c>
      <c r="BB73" s="25">
        <f t="shared" si="93"/>
        <v>0</v>
      </c>
      <c r="BC73" s="167">
        <f t="shared" si="94"/>
        <v>0</v>
      </c>
    </row>
    <row r="74" spans="1:55" ht="12.75">
      <c r="A74" t="s">
        <v>285</v>
      </c>
      <c r="B74" s="79">
        <v>71</v>
      </c>
      <c r="C74" s="5" t="s">
        <v>286</v>
      </c>
      <c r="D74" s="6" t="s">
        <v>233</v>
      </c>
      <c r="E74" s="17" t="s">
        <v>287</v>
      </c>
      <c r="F74" s="7">
        <v>248</v>
      </c>
      <c r="G74" s="67">
        <f>VLOOKUP($A74,HH_Jobs_CorridorLength!$A$2:$F$116,5,FALSE)</f>
        <v>982.8039430449068</v>
      </c>
      <c r="H74" s="62">
        <f t="shared" si="67"/>
        <v>0</v>
      </c>
      <c r="I74" s="67">
        <f>VLOOKUP($A74,HH_Jobs_CorridorLength!$A$2:$F$116,6,FALSE)</f>
        <v>1339.9780941949616</v>
      </c>
      <c r="J74" s="62">
        <f t="shared" si="68"/>
        <v>0</v>
      </c>
      <c r="K74" s="319">
        <f>VLOOKUP(A74,Low_Income_Minority!$A$3:$J$115,8,FALSE)</f>
        <v>0.8121700454462906</v>
      </c>
      <c r="L74" s="60">
        <f>IF(Minority&gt;=Minority_Thrshld,Min_Pts,0)</f>
        <v>5</v>
      </c>
      <c r="M74" s="321">
        <f>VLOOKUP(A74,Low_Income_Minority!$A$3:$J$115,10,FALSE)</f>
        <v>0.010002778571374561</v>
      </c>
      <c r="N74" s="61">
        <f t="shared" si="69"/>
        <v>0</v>
      </c>
      <c r="O74" s="57" t="str">
        <f>VLOOKUP(A74,Primary_Connections_To_Centers!$A$3:$K$116,9,FALSE)</f>
        <v>Yes</v>
      </c>
      <c r="P74" s="60">
        <f t="shared" si="70"/>
        <v>5</v>
      </c>
      <c r="Q74" s="38" t="str">
        <f>VLOOKUP(A74,Primary_Connections_To_Centers!$A$3:$K$116,10,FALSE)</f>
        <v>No</v>
      </c>
      <c r="R74" s="60">
        <f t="shared" si="71"/>
        <v>0</v>
      </c>
      <c r="S74" s="65">
        <f t="shared" si="72"/>
        <v>10</v>
      </c>
      <c r="T74" s="65"/>
      <c r="U74" s="73"/>
      <c r="V74" s="64">
        <f t="shared" si="73"/>
        <v>30</v>
      </c>
      <c r="W74" s="64">
        <f t="shared" si="74"/>
        <v>30</v>
      </c>
      <c r="X74" s="64">
        <f t="shared" si="75"/>
        <v>0</v>
      </c>
      <c r="Y74" s="38">
        <f>VLOOKUP(A74,Step_II_Load_CostRecovery_Sum!$A$5:$T$117,14,FALSE)</f>
        <v>0.47</v>
      </c>
      <c r="Z74" s="167">
        <f>VLOOKUP($A74,Step_II_Load_CostRecovery_Sum!$A$5:$T$117,15,FALSE)</f>
        <v>0.35</v>
      </c>
      <c r="AA74" s="38">
        <f t="shared" si="76"/>
        <v>0</v>
      </c>
      <c r="AB74" s="167">
        <f t="shared" si="77"/>
        <v>0</v>
      </c>
      <c r="AC74" s="288">
        <f>VLOOKUP($A74,Step_II_Load_CostRecovery_Sum!$A$5:$AE$117,29,FALSE)</f>
        <v>0.15106649937264743</v>
      </c>
      <c r="AD74" s="289">
        <f>VLOOKUP($A74,Step_II_Load_CostRecovery_Sum!$A$5:$AE$117,30,FALSE)</f>
        <v>0.11235570890840652</v>
      </c>
      <c r="AE74" s="290">
        <f>VLOOKUP($A74,Step_II_Load_CostRecovery_Sum!$A$5:$AE$117,31,FALSE)</f>
        <v>0.06862766624843163</v>
      </c>
      <c r="AF74" s="38">
        <f t="shared" si="78"/>
        <v>0</v>
      </c>
      <c r="AG74" s="25">
        <f t="shared" si="79"/>
        <v>0</v>
      </c>
      <c r="AH74" s="167">
        <f t="shared" si="80"/>
        <v>0</v>
      </c>
      <c r="AI74" s="38">
        <f t="shared" si="81"/>
        <v>0</v>
      </c>
      <c r="AJ74" s="170">
        <f t="shared" si="82"/>
        <v>0</v>
      </c>
      <c r="AK74" s="25">
        <f t="shared" si="83"/>
        <v>0</v>
      </c>
      <c r="AL74" s="167">
        <f t="shared" si="84"/>
        <v>0</v>
      </c>
      <c r="AN74" s="220">
        <f t="shared" si="85"/>
        <v>0</v>
      </c>
      <c r="AO74" s="26">
        <f t="shared" si="86"/>
        <v>0</v>
      </c>
      <c r="AP74" s="209">
        <f t="shared" si="87"/>
        <v>0</v>
      </c>
      <c r="AQ74" s="38">
        <f t="shared" si="88"/>
        <v>30</v>
      </c>
      <c r="AR74" s="25">
        <f t="shared" si="89"/>
        <v>30</v>
      </c>
      <c r="AS74" s="170">
        <f t="shared" si="90"/>
        <v>0</v>
      </c>
      <c r="AT74" s="253" t="str">
        <f t="shared" si="91"/>
        <v>Local</v>
      </c>
      <c r="AU74" s="251">
        <v>3</v>
      </c>
      <c r="AV74" s="41">
        <v>3</v>
      </c>
      <c r="AW74" s="207">
        <v>3</v>
      </c>
      <c r="AX74" s="175">
        <f t="shared" si="96"/>
        <v>3</v>
      </c>
      <c r="AY74" s="41">
        <f t="shared" si="97"/>
        <v>3</v>
      </c>
      <c r="AZ74" s="207">
        <f t="shared" si="95"/>
        <v>6</v>
      </c>
      <c r="BA74" s="38">
        <f t="shared" si="92"/>
        <v>0</v>
      </c>
      <c r="BB74" s="25">
        <f t="shared" si="93"/>
        <v>0</v>
      </c>
      <c r="BC74" s="167">
        <f t="shared" si="94"/>
        <v>3</v>
      </c>
    </row>
    <row r="75" spans="1:55" ht="12.75">
      <c r="A75" t="s">
        <v>232</v>
      </c>
      <c r="B75" s="79">
        <v>72</v>
      </c>
      <c r="C75" s="5" t="s">
        <v>233</v>
      </c>
      <c r="D75" s="6" t="s">
        <v>234</v>
      </c>
      <c r="E75" s="17" t="s">
        <v>235</v>
      </c>
      <c r="F75" s="10">
        <v>245</v>
      </c>
      <c r="G75" s="67">
        <f>VLOOKUP($A75,HH_Jobs_CorridorLength!$A$2:$F$116,5,FALSE)</f>
        <v>697.6898008954164</v>
      </c>
      <c r="H75" s="62">
        <f t="shared" si="67"/>
        <v>0</v>
      </c>
      <c r="I75" s="67">
        <f>VLOOKUP($A75,HH_Jobs_CorridorLength!$A$2:$F$116,6,FALSE)</f>
        <v>1501.4857151436663</v>
      </c>
      <c r="J75" s="62">
        <f t="shared" si="68"/>
        <v>0</v>
      </c>
      <c r="K75" s="319">
        <f>VLOOKUP(A75,Low_Income_Minority!$A$3:$J$115,8,FALSE)</f>
        <v>0.6137858622687475</v>
      </c>
      <c r="L75" s="60">
        <f>IF(Minority&gt;=Minority_Thrshld,Min_Pts,0)</f>
        <v>5</v>
      </c>
      <c r="M75" s="321">
        <f>VLOOKUP(A75,Low_Income_Minority!$A$3:$J$115,10,FALSE)</f>
        <v>0.14289713162105352</v>
      </c>
      <c r="N75" s="61">
        <f t="shared" si="69"/>
        <v>0</v>
      </c>
      <c r="O75" s="57" t="str">
        <f>VLOOKUP(A75,Primary_Connections_To_Centers!$A$3:$K$116,9,FALSE)</f>
        <v>Yes</v>
      </c>
      <c r="P75" s="60">
        <f t="shared" si="70"/>
        <v>5</v>
      </c>
      <c r="Q75" s="38" t="str">
        <f>VLOOKUP(A75,Primary_Connections_To_Centers!$A$3:$K$116,10,FALSE)</f>
        <v>No</v>
      </c>
      <c r="R75" s="60">
        <f t="shared" si="71"/>
        <v>0</v>
      </c>
      <c r="S75" s="65">
        <f t="shared" si="72"/>
        <v>10</v>
      </c>
      <c r="T75" s="65"/>
      <c r="U75" s="73"/>
      <c r="V75" s="64">
        <f t="shared" si="73"/>
        <v>30</v>
      </c>
      <c r="W75" s="64">
        <f t="shared" si="74"/>
        <v>30</v>
      </c>
      <c r="X75" s="64">
        <f t="shared" si="75"/>
        <v>0</v>
      </c>
      <c r="Y75" s="38">
        <f>VLOOKUP(A75,Step_II_Load_CostRecovery_Sum!$A$5:$T$117,14,FALSE)</f>
        <v>0.95</v>
      </c>
      <c r="Z75" s="167">
        <f>VLOOKUP($A75,Step_II_Load_CostRecovery_Sum!$A$5:$T$117,15,FALSE)</f>
        <v>0.43</v>
      </c>
      <c r="AA75" s="38">
        <f t="shared" si="76"/>
        <v>1</v>
      </c>
      <c r="AB75" s="167">
        <f t="shared" si="77"/>
        <v>0</v>
      </c>
      <c r="AC75" s="288">
        <f>VLOOKUP($A75,Step_II_Load_CostRecovery_Sum!$A$5:$AE$117,29,FALSE)</f>
        <v>0.32962358845671275</v>
      </c>
      <c r="AD75" s="289">
        <f>VLOOKUP($A75,Step_II_Load_CostRecovery_Sum!$A$5:$AE$117,30,FALSE)</f>
        <v>0.29879548306148057</v>
      </c>
      <c r="AE75" s="290">
        <f>VLOOKUP($A75,Step_II_Load_CostRecovery_Sum!$A$5:$AE$117,31,FALSE)</f>
        <v>0.09544855708908406</v>
      </c>
      <c r="AF75" s="38">
        <f t="shared" si="78"/>
        <v>0</v>
      </c>
      <c r="AG75" s="25">
        <f t="shared" si="79"/>
        <v>0</v>
      </c>
      <c r="AH75" s="167">
        <f t="shared" si="80"/>
        <v>0</v>
      </c>
      <c r="AI75" s="38">
        <f t="shared" si="81"/>
        <v>0</v>
      </c>
      <c r="AJ75" s="170">
        <f t="shared" si="82"/>
        <v>60</v>
      </c>
      <c r="AK75" s="25">
        <f t="shared" si="83"/>
        <v>30</v>
      </c>
      <c r="AL75" s="167">
        <f t="shared" si="84"/>
        <v>30</v>
      </c>
      <c r="AN75" s="220">
        <f t="shared" si="85"/>
        <v>1</v>
      </c>
      <c r="AO75" s="26">
        <f t="shared" si="86"/>
        <v>0</v>
      </c>
      <c r="AP75" s="209">
        <f t="shared" si="87"/>
        <v>0</v>
      </c>
      <c r="AQ75" s="38">
        <f t="shared" si="88"/>
        <v>15</v>
      </c>
      <c r="AR75" s="25">
        <f t="shared" si="89"/>
        <v>30</v>
      </c>
      <c r="AS75" s="170">
        <f t="shared" si="90"/>
        <v>30</v>
      </c>
      <c r="AT75" s="253" t="str">
        <f t="shared" si="91"/>
        <v>Frequent</v>
      </c>
      <c r="AU75" s="251">
        <v>2</v>
      </c>
      <c r="AV75" s="41">
        <v>2</v>
      </c>
      <c r="AW75" s="207">
        <v>3</v>
      </c>
      <c r="AX75" s="175">
        <f t="shared" si="96"/>
        <v>2</v>
      </c>
      <c r="AY75" s="41">
        <f t="shared" si="97"/>
        <v>3</v>
      </c>
      <c r="AZ75" s="207">
        <f t="shared" si="95"/>
        <v>3</v>
      </c>
      <c r="BA75" s="38">
        <f t="shared" si="92"/>
        <v>0</v>
      </c>
      <c r="BB75" s="25">
        <f t="shared" si="93"/>
        <v>1</v>
      </c>
      <c r="BC75" s="167">
        <f t="shared" si="94"/>
        <v>0</v>
      </c>
    </row>
    <row r="76" spans="1:55" ht="12.75">
      <c r="A76" t="s">
        <v>178</v>
      </c>
      <c r="B76" s="79">
        <v>73</v>
      </c>
      <c r="C76" s="5" t="s">
        <v>66</v>
      </c>
      <c r="D76" s="6" t="s">
        <v>86</v>
      </c>
      <c r="E76" s="17" t="s">
        <v>179</v>
      </c>
      <c r="F76" s="7">
        <v>346</v>
      </c>
      <c r="G76" s="67">
        <f>VLOOKUP($A76,HH_Jobs_CorridorLength!$A$2:$F$116,5,FALSE)</f>
        <v>1005.702364394993</v>
      </c>
      <c r="H76" s="62">
        <f t="shared" si="67"/>
        <v>0</v>
      </c>
      <c r="I76" s="67">
        <f>VLOOKUP($A76,HH_Jobs_CorridorLength!$A$2:$F$116,6,FALSE)</f>
        <v>1002.7816411682892</v>
      </c>
      <c r="J76" s="62">
        <f t="shared" si="68"/>
        <v>0</v>
      </c>
      <c r="K76" s="319">
        <f>VLOOKUP(A76,Low_Income_Minority!$A$3:$J$115,8,FALSE)</f>
        <v>0.9350835957033171</v>
      </c>
      <c r="L76" s="60">
        <f>IF(Minority&gt;=Minority_Thrshld,Min_Pts,0)</f>
        <v>5</v>
      </c>
      <c r="M76" s="321">
        <f>VLOOKUP(A76,Low_Income_Minority!$A$3:$J$115,10,FALSE)</f>
        <v>0.4230668769438926</v>
      </c>
      <c r="N76" s="61">
        <f t="shared" si="69"/>
        <v>0</v>
      </c>
      <c r="O76" s="57" t="str">
        <f>VLOOKUP(A76,Primary_Connections_To_Centers!$A$3:$K$116,9,FALSE)</f>
        <v>Yes</v>
      </c>
      <c r="P76" s="60">
        <f t="shared" si="70"/>
        <v>5</v>
      </c>
      <c r="Q76" s="38" t="str">
        <f>VLOOKUP(A76,Primary_Connections_To_Centers!$A$3:$K$116,10,FALSE)</f>
        <v>No</v>
      </c>
      <c r="R76" s="60">
        <f t="shared" si="71"/>
        <v>0</v>
      </c>
      <c r="S76" s="65">
        <f t="shared" si="72"/>
        <v>10</v>
      </c>
      <c r="T76" s="65"/>
      <c r="U76" s="73"/>
      <c r="V76" s="64">
        <f t="shared" si="73"/>
        <v>30</v>
      </c>
      <c r="W76" s="64">
        <f t="shared" si="74"/>
        <v>30</v>
      </c>
      <c r="X76" s="64">
        <f t="shared" si="75"/>
        <v>0</v>
      </c>
      <c r="Y76" s="38">
        <f>VLOOKUP(A76,Step_II_Load_CostRecovery_Sum!$A$5:$T$117,14,FALSE)</f>
        <v>0.56</v>
      </c>
      <c r="Z76" s="167">
        <f>VLOOKUP($A76,Step_II_Load_CostRecovery_Sum!$A$5:$T$117,15,FALSE)</f>
        <v>0.49</v>
      </c>
      <c r="AA76" s="38">
        <f t="shared" si="76"/>
        <v>0</v>
      </c>
      <c r="AB76" s="167">
        <f t="shared" si="77"/>
        <v>0</v>
      </c>
      <c r="AC76" s="288">
        <f>VLOOKUP($A76,Step_II_Load_CostRecovery_Sum!$A$5:$AE$117,29,FALSE)</f>
        <v>0.3804579673776663</v>
      </c>
      <c r="AD76" s="289">
        <f>VLOOKUP($A76,Step_II_Load_CostRecovery_Sum!$A$5:$AE$117,30,FALSE)</f>
        <v>0.25768036386449183</v>
      </c>
      <c r="AE76" s="290">
        <f>VLOOKUP($A76,Step_II_Load_CostRecovery_Sum!$A$5:$AE$117,31,FALSE)</f>
        <v>0.11519918444165622</v>
      </c>
      <c r="AF76" s="38">
        <f t="shared" si="78"/>
        <v>0</v>
      </c>
      <c r="AG76" s="25">
        <f t="shared" si="79"/>
        <v>0</v>
      </c>
      <c r="AH76" s="167">
        <f t="shared" si="80"/>
        <v>0</v>
      </c>
      <c r="AI76" s="38">
        <f t="shared" si="81"/>
        <v>0</v>
      </c>
      <c r="AJ76" s="170">
        <f t="shared" si="82"/>
        <v>60</v>
      </c>
      <c r="AK76" s="25">
        <f t="shared" si="83"/>
        <v>0</v>
      </c>
      <c r="AL76" s="167">
        <f t="shared" si="84"/>
        <v>60</v>
      </c>
      <c r="AN76" s="220">
        <f t="shared" si="85"/>
        <v>0</v>
      </c>
      <c r="AO76" s="26">
        <f t="shared" si="86"/>
        <v>0</v>
      </c>
      <c r="AP76" s="209">
        <f t="shared" si="87"/>
        <v>0</v>
      </c>
      <c r="AQ76" s="38">
        <f t="shared" si="88"/>
        <v>30</v>
      </c>
      <c r="AR76" s="25">
        <f t="shared" si="89"/>
        <v>30</v>
      </c>
      <c r="AS76" s="170">
        <f t="shared" si="90"/>
        <v>60</v>
      </c>
      <c r="AT76" s="253" t="str">
        <f t="shared" si="91"/>
        <v>Local</v>
      </c>
      <c r="AU76" s="251">
        <v>3</v>
      </c>
      <c r="AV76" s="41">
        <v>3</v>
      </c>
      <c r="AW76" s="207">
        <v>5</v>
      </c>
      <c r="AX76" s="175">
        <f t="shared" si="96"/>
        <v>3</v>
      </c>
      <c r="AY76" s="41">
        <f t="shared" si="97"/>
        <v>3</v>
      </c>
      <c r="AZ76" s="207">
        <f t="shared" si="95"/>
        <v>5</v>
      </c>
      <c r="BA76" s="38">
        <f t="shared" si="92"/>
        <v>0</v>
      </c>
      <c r="BB76" s="25">
        <f t="shared" si="93"/>
        <v>0</v>
      </c>
      <c r="BC76" s="167">
        <f t="shared" si="94"/>
        <v>0</v>
      </c>
    </row>
    <row r="77" spans="1:55" ht="12.75">
      <c r="A77" t="s">
        <v>227</v>
      </c>
      <c r="B77" s="79">
        <v>74</v>
      </c>
      <c r="C77" s="5" t="s">
        <v>98</v>
      </c>
      <c r="D77" s="6" t="s">
        <v>39</v>
      </c>
      <c r="E77" s="17" t="s">
        <v>228</v>
      </c>
      <c r="F77" s="7">
        <v>107</v>
      </c>
      <c r="G77" s="67">
        <f>VLOOKUP($A77,HH_Jobs_CorridorLength!$A$2:$F$116,5,FALSE)</f>
        <v>749.1961414790997</v>
      </c>
      <c r="H77" s="62">
        <f t="shared" si="67"/>
        <v>0</v>
      </c>
      <c r="I77" s="67">
        <f>VLOOKUP($A77,HH_Jobs_CorridorLength!$A$2:$F$116,6,FALSE)</f>
        <v>479.0996784565916</v>
      </c>
      <c r="J77" s="62">
        <f t="shared" si="68"/>
        <v>0</v>
      </c>
      <c r="K77" s="319">
        <f>VLOOKUP(A77,Low_Income_Minority!$A$3:$J$115,8,FALSE)</f>
        <v>1</v>
      </c>
      <c r="L77" s="60">
        <f>IF(Minority&gt;=Minority_Thrshld,Min_Pts,0)</f>
        <v>5</v>
      </c>
      <c r="M77" s="321">
        <f>VLOOKUP(A77,Low_Income_Minority!$A$3:$J$115,10,FALSE)</f>
        <v>0.9137266520231673</v>
      </c>
      <c r="N77" s="61">
        <f t="shared" si="69"/>
        <v>5</v>
      </c>
      <c r="O77" s="57" t="str">
        <f>VLOOKUP(A77,Primary_Connections_To_Centers!$A$3:$K$116,9,FALSE)</f>
        <v>No</v>
      </c>
      <c r="P77" s="60">
        <f t="shared" si="70"/>
        <v>0</v>
      </c>
      <c r="Q77" s="38" t="str">
        <f>VLOOKUP(A77,Primary_Connections_To_Centers!$A$3:$K$116,10,FALSE)</f>
        <v>No</v>
      </c>
      <c r="R77" s="60">
        <f t="shared" si="71"/>
        <v>0</v>
      </c>
      <c r="S77" s="65">
        <f t="shared" si="72"/>
        <v>10</v>
      </c>
      <c r="T77" s="65"/>
      <c r="U77" s="73"/>
      <c r="V77" s="64">
        <f t="shared" si="73"/>
        <v>30</v>
      </c>
      <c r="W77" s="64">
        <f t="shared" si="74"/>
        <v>30</v>
      </c>
      <c r="X77" s="64">
        <f t="shared" si="75"/>
        <v>0</v>
      </c>
      <c r="Y77" s="38">
        <f>VLOOKUP(A77,Step_II_Load_CostRecovery_Sum!$A$5:$T$117,14,FALSE)</f>
        <v>0.59</v>
      </c>
      <c r="Z77" s="167">
        <f>VLOOKUP($A77,Step_II_Load_CostRecovery_Sum!$A$5:$T$117,15,FALSE)</f>
        <v>0.45</v>
      </c>
      <c r="AA77" s="38">
        <f t="shared" si="76"/>
        <v>0</v>
      </c>
      <c r="AB77" s="167">
        <f t="shared" si="77"/>
        <v>0</v>
      </c>
      <c r="AC77" s="288">
        <f>VLOOKUP($A77,Step_II_Load_CostRecovery_Sum!$A$5:$AE$117,29,FALSE)</f>
        <v>0.5852650564617314</v>
      </c>
      <c r="AD77" s="289">
        <f>VLOOKUP($A77,Step_II_Load_CostRecovery_Sum!$A$5:$AE$117,30,FALSE)</f>
        <v>0.17675658720200751</v>
      </c>
      <c r="AE77" s="290">
        <f>VLOOKUP($A77,Step_II_Load_CostRecovery_Sum!$A$5:$AE$117,31,FALSE)</f>
        <v>0.09406524466750314</v>
      </c>
      <c r="AF77" s="38">
        <f t="shared" si="78"/>
        <v>1</v>
      </c>
      <c r="AG77" s="25">
        <f t="shared" si="79"/>
        <v>0</v>
      </c>
      <c r="AH77" s="167">
        <f t="shared" si="80"/>
        <v>0</v>
      </c>
      <c r="AI77" s="38">
        <f t="shared" si="81"/>
        <v>0</v>
      </c>
      <c r="AJ77" s="170">
        <f t="shared" si="82"/>
        <v>60</v>
      </c>
      <c r="AK77" s="25">
        <f t="shared" si="83"/>
        <v>30</v>
      </c>
      <c r="AL77" s="167">
        <f t="shared" si="84"/>
        <v>30</v>
      </c>
      <c r="AN77" s="220">
        <f t="shared" si="85"/>
        <v>1</v>
      </c>
      <c r="AO77" s="26">
        <f t="shared" si="86"/>
        <v>0</v>
      </c>
      <c r="AP77" s="209">
        <f t="shared" si="87"/>
        <v>0</v>
      </c>
      <c r="AQ77" s="38">
        <f t="shared" si="88"/>
        <v>15</v>
      </c>
      <c r="AR77" s="25">
        <f t="shared" si="89"/>
        <v>30</v>
      </c>
      <c r="AS77" s="170">
        <f t="shared" si="90"/>
        <v>30</v>
      </c>
      <c r="AT77" s="253" t="str">
        <f t="shared" si="91"/>
        <v>Frequent</v>
      </c>
      <c r="AU77" s="251">
        <v>2</v>
      </c>
      <c r="AV77" s="41">
        <v>3</v>
      </c>
      <c r="AW77" s="207">
        <v>3</v>
      </c>
      <c r="AX77" s="175">
        <f t="shared" si="96"/>
        <v>2</v>
      </c>
      <c r="AY77" s="41">
        <f t="shared" si="97"/>
        <v>3</v>
      </c>
      <c r="AZ77" s="207">
        <f t="shared" si="95"/>
        <v>3</v>
      </c>
      <c r="BA77" s="38">
        <f t="shared" si="92"/>
        <v>0</v>
      </c>
      <c r="BB77" s="25">
        <f t="shared" si="93"/>
        <v>0</v>
      </c>
      <c r="BC77" s="167">
        <f t="shared" si="94"/>
        <v>0</v>
      </c>
    </row>
    <row r="78" spans="1:55" ht="12.75">
      <c r="A78" t="s">
        <v>221</v>
      </c>
      <c r="B78" s="79">
        <v>75</v>
      </c>
      <c r="C78" s="5" t="s">
        <v>222</v>
      </c>
      <c r="D78" s="6" t="s">
        <v>102</v>
      </c>
      <c r="E78" s="17" t="s">
        <v>223</v>
      </c>
      <c r="F78" s="7">
        <v>186</v>
      </c>
      <c r="G78" s="67">
        <f>VLOOKUP($A78,HH_Jobs_CorridorLength!$A$2:$F$116,5,FALSE)</f>
        <v>205.742211362248</v>
      </c>
      <c r="H78" s="62">
        <f t="shared" si="67"/>
        <v>0</v>
      </c>
      <c r="I78" s="67">
        <f>VLOOKUP($A78,HH_Jobs_CorridorLength!$A$2:$F$116,6,FALSE)</f>
        <v>398.22846670739153</v>
      </c>
      <c r="J78" s="62">
        <f t="shared" si="68"/>
        <v>0</v>
      </c>
      <c r="K78" s="319">
        <f>VLOOKUP(A78,Low_Income_Minority!$A$3:$J$115,8,FALSE)</f>
        <v>0.4556714462163914</v>
      </c>
      <c r="L78" s="60">
        <f>IF(Minority&gt;=Minority_Thrshld,Min_Pts,0)</f>
        <v>0</v>
      </c>
      <c r="M78" s="321">
        <f>VLOOKUP(A78,Low_Income_Minority!$A$3:$J$115,10,FALSE)</f>
        <v>0.8468057352702482</v>
      </c>
      <c r="N78" s="61">
        <f t="shared" si="69"/>
        <v>5</v>
      </c>
      <c r="O78" s="57" t="str">
        <f>VLOOKUP(A78,Primary_Connections_To_Centers!$A$3:$K$116,9,FALSE)</f>
        <v>Yes</v>
      </c>
      <c r="P78" s="60">
        <f t="shared" si="70"/>
        <v>5</v>
      </c>
      <c r="Q78" s="38" t="str">
        <f>VLOOKUP(A78,Primary_Connections_To_Centers!$A$3:$K$116,10,FALSE)</f>
        <v>No</v>
      </c>
      <c r="R78" s="60">
        <f t="shared" si="71"/>
        <v>0</v>
      </c>
      <c r="S78" s="65">
        <f t="shared" si="72"/>
        <v>10</v>
      </c>
      <c r="T78" s="65"/>
      <c r="U78" s="73"/>
      <c r="V78" s="64">
        <f t="shared" si="73"/>
        <v>30</v>
      </c>
      <c r="W78" s="64">
        <f t="shared" si="74"/>
        <v>30</v>
      </c>
      <c r="X78" s="64">
        <f t="shared" si="75"/>
        <v>0</v>
      </c>
      <c r="Y78" s="38">
        <f>VLOOKUP(A78,Step_II_Load_CostRecovery_Sum!$A$5:$T$117,14,FALSE)</f>
        <v>0.43</v>
      </c>
      <c r="Z78" s="167">
        <f>VLOOKUP($A78,Step_II_Load_CostRecovery_Sum!$A$5:$T$117,15,FALSE)</f>
        <v>0.3</v>
      </c>
      <c r="AA78" s="38">
        <f t="shared" si="76"/>
        <v>0</v>
      </c>
      <c r="AB78" s="167">
        <f t="shared" si="77"/>
        <v>0</v>
      </c>
      <c r="AC78" s="288">
        <f>VLOOKUP($A78,Step_II_Load_CostRecovery_Sum!$A$5:$AE$117,29,FALSE)</f>
        <v>0.06868255959849437</v>
      </c>
      <c r="AD78" s="289">
        <f>VLOOKUP($A78,Step_II_Load_CostRecovery_Sum!$A$5:$AE$117,30,FALSE)</f>
        <v>0.07608218318695106</v>
      </c>
      <c r="AE78" s="290" t="str">
        <f>VLOOKUP($A78,Step_II_Load_CostRecovery_Sum!$A$5:$AE$117,31,FALSE)</f>
        <v>N/A</v>
      </c>
      <c r="AF78" s="38">
        <f t="shared" si="78"/>
        <v>0</v>
      </c>
      <c r="AG78" s="25">
        <f t="shared" si="79"/>
        <v>0</v>
      </c>
      <c r="AH78" s="167" t="str">
        <f t="shared" si="80"/>
        <v>N/A</v>
      </c>
      <c r="AI78" s="38">
        <f t="shared" si="81"/>
        <v>0</v>
      </c>
      <c r="AJ78" s="170" t="str">
        <f t="shared" si="82"/>
        <v>N/A</v>
      </c>
      <c r="AK78" s="25">
        <f t="shared" si="83"/>
        <v>0</v>
      </c>
      <c r="AL78" s="167">
        <f t="shared" si="84"/>
        <v>0</v>
      </c>
      <c r="AN78" s="220">
        <f t="shared" si="85"/>
        <v>0</v>
      </c>
      <c r="AO78" s="26">
        <f t="shared" si="86"/>
        <v>0</v>
      </c>
      <c r="AP78" s="209">
        <f t="shared" si="87"/>
        <v>0</v>
      </c>
      <c r="AQ78" s="38">
        <f t="shared" si="88"/>
        <v>30</v>
      </c>
      <c r="AR78" s="25">
        <f t="shared" si="89"/>
        <v>30</v>
      </c>
      <c r="AS78" s="170">
        <f t="shared" si="90"/>
        <v>0</v>
      </c>
      <c r="AT78" s="253" t="str">
        <f t="shared" si="91"/>
        <v>Local</v>
      </c>
      <c r="AU78" s="251">
        <v>3</v>
      </c>
      <c r="AV78" s="41">
        <v>5</v>
      </c>
      <c r="AW78" s="207">
        <v>6</v>
      </c>
      <c r="AX78" s="175">
        <f t="shared" si="96"/>
        <v>3</v>
      </c>
      <c r="AY78" s="41">
        <f t="shared" si="97"/>
        <v>3</v>
      </c>
      <c r="AZ78" s="207">
        <f t="shared" si="95"/>
        <v>6</v>
      </c>
      <c r="BA78" s="38">
        <f t="shared" si="92"/>
        <v>0</v>
      </c>
      <c r="BB78" s="25">
        <f t="shared" si="93"/>
        <v>-2</v>
      </c>
      <c r="BC78" s="167">
        <f t="shared" si="94"/>
        <v>0</v>
      </c>
    </row>
    <row r="79" spans="1:56" s="257" customFormat="1" ht="12.75">
      <c r="A79" t="s">
        <v>218</v>
      </c>
      <c r="B79" s="79">
        <v>76</v>
      </c>
      <c r="C79" s="5" t="s">
        <v>219</v>
      </c>
      <c r="D79" s="6" t="s">
        <v>92</v>
      </c>
      <c r="E79" s="17" t="s">
        <v>220</v>
      </c>
      <c r="F79" s="7">
        <v>182</v>
      </c>
      <c r="G79" s="67">
        <f>VLOOKUP($A79,HH_Jobs_CorridorLength!$A$2:$F$116,5,FALSE)</f>
        <v>346.8369829683698</v>
      </c>
      <c r="H79" s="62">
        <f t="shared" si="67"/>
        <v>0</v>
      </c>
      <c r="I79" s="67">
        <f>VLOOKUP($A79,HH_Jobs_CorridorLength!$A$2:$F$116,6,FALSE)</f>
        <v>983.3333333333333</v>
      </c>
      <c r="J79" s="62">
        <f t="shared" si="68"/>
        <v>0</v>
      </c>
      <c r="K79" s="319">
        <f>VLOOKUP(A79,Low_Income_Minority!$A$3:$J$115,8,FALSE)</f>
        <v>0.7843688513787348</v>
      </c>
      <c r="L79" s="60">
        <f>IF(Minority&gt;=Minority_Thrshld,Min_Pts,0)</f>
        <v>5</v>
      </c>
      <c r="M79" s="321">
        <f>VLOOKUP(A79,Low_Income_Minority!$A$3:$J$115,10,FALSE)</f>
        <v>0.6319932544146892</v>
      </c>
      <c r="N79" s="61">
        <f t="shared" si="69"/>
        <v>5</v>
      </c>
      <c r="O79" s="57" t="str">
        <f>VLOOKUP(A79,Primary_Connections_To_Centers!$A$3:$K$116,9,FALSE)</f>
        <v>No</v>
      </c>
      <c r="P79" s="60">
        <f t="shared" si="70"/>
        <v>0</v>
      </c>
      <c r="Q79" s="38" t="str">
        <f>VLOOKUP(A79,Primary_Connections_To_Centers!$A$3:$K$116,10,FALSE)</f>
        <v>No</v>
      </c>
      <c r="R79" s="60">
        <f t="shared" si="71"/>
        <v>0</v>
      </c>
      <c r="S79" s="65">
        <f t="shared" si="72"/>
        <v>10</v>
      </c>
      <c r="T79" s="65"/>
      <c r="U79" s="73"/>
      <c r="V79" s="64">
        <f t="shared" si="73"/>
        <v>30</v>
      </c>
      <c r="W79" s="64">
        <f t="shared" si="74"/>
        <v>30</v>
      </c>
      <c r="X79" s="64">
        <f t="shared" si="75"/>
        <v>0</v>
      </c>
      <c r="Y79" s="38">
        <f>VLOOKUP(A79,Step_II_Load_CostRecovery_Sum!$A$5:$T$117,14,FALSE)</f>
        <v>0.3</v>
      </c>
      <c r="Z79" s="167">
        <f>VLOOKUP($A79,Step_II_Load_CostRecovery_Sum!$A$5:$T$117,15,FALSE)</f>
        <v>0.42</v>
      </c>
      <c r="AA79" s="38">
        <f t="shared" si="76"/>
        <v>0</v>
      </c>
      <c r="AB79" s="167">
        <f t="shared" si="77"/>
        <v>0</v>
      </c>
      <c r="AC79" s="288">
        <f>VLOOKUP($A79,Step_II_Load_CostRecovery_Sum!$A$5:$AE$117,29,FALSE)</f>
        <v>0.14395232120451698</v>
      </c>
      <c r="AD79" s="289">
        <f>VLOOKUP($A79,Step_II_Load_CostRecovery_Sum!$A$5:$AE$117,30,FALSE)</f>
        <v>0.07515997490589711</v>
      </c>
      <c r="AE79" s="290" t="str">
        <f>VLOOKUP($A79,Step_II_Load_CostRecovery_Sum!$A$5:$AE$117,31,FALSE)</f>
        <v>N/A</v>
      </c>
      <c r="AF79" s="38">
        <f t="shared" si="78"/>
        <v>0</v>
      </c>
      <c r="AG79" s="25">
        <f t="shared" si="79"/>
        <v>0</v>
      </c>
      <c r="AH79" s="167" t="str">
        <f t="shared" si="80"/>
        <v>N/A</v>
      </c>
      <c r="AI79" s="38">
        <f t="shared" si="81"/>
        <v>0</v>
      </c>
      <c r="AJ79" s="170" t="str">
        <f t="shared" si="82"/>
        <v>N/A</v>
      </c>
      <c r="AK79" s="25">
        <f t="shared" si="83"/>
        <v>0</v>
      </c>
      <c r="AL79" s="167">
        <f t="shared" si="84"/>
        <v>0</v>
      </c>
      <c r="AM79"/>
      <c r="AN79" s="220">
        <f t="shared" si="85"/>
        <v>0</v>
      </c>
      <c r="AO79" s="26">
        <f t="shared" si="86"/>
        <v>0</v>
      </c>
      <c r="AP79" s="209">
        <f t="shared" si="87"/>
        <v>0</v>
      </c>
      <c r="AQ79" s="38">
        <f t="shared" si="88"/>
        <v>30</v>
      </c>
      <c r="AR79" s="25">
        <f t="shared" si="89"/>
        <v>30</v>
      </c>
      <c r="AS79" s="170">
        <f t="shared" si="90"/>
        <v>0</v>
      </c>
      <c r="AT79" s="253" t="str">
        <f t="shared" si="91"/>
        <v>Local</v>
      </c>
      <c r="AU79" s="251">
        <v>3</v>
      </c>
      <c r="AV79" s="41">
        <v>4</v>
      </c>
      <c r="AW79" s="207">
        <v>6</v>
      </c>
      <c r="AX79" s="175">
        <f t="shared" si="96"/>
        <v>3</v>
      </c>
      <c r="AY79" s="41">
        <f t="shared" si="97"/>
        <v>3</v>
      </c>
      <c r="AZ79" s="207">
        <f t="shared" si="95"/>
        <v>6</v>
      </c>
      <c r="BA79" s="38">
        <f t="shared" si="92"/>
        <v>0</v>
      </c>
      <c r="BB79" s="25">
        <f t="shared" si="93"/>
        <v>-1</v>
      </c>
      <c r="BC79" s="167">
        <f t="shared" si="94"/>
        <v>0</v>
      </c>
      <c r="BD79" s="21"/>
    </row>
    <row r="80" spans="1:55" ht="12.75">
      <c r="A80" s="14" t="s">
        <v>275</v>
      </c>
      <c r="B80" s="79">
        <v>77</v>
      </c>
      <c r="C80" s="5" t="s">
        <v>273</v>
      </c>
      <c r="D80" s="6" t="s">
        <v>210</v>
      </c>
      <c r="E80" s="17" t="s">
        <v>276</v>
      </c>
      <c r="F80" s="10">
        <v>269</v>
      </c>
      <c r="G80" s="67">
        <f>VLOOKUP($A80,HH_Jobs_CorridorLength!$A$2:$F$116,5,FALSE)</f>
        <v>369.22717245435007</v>
      </c>
      <c r="H80" s="62">
        <f t="shared" si="67"/>
        <v>0</v>
      </c>
      <c r="I80" s="67">
        <f>VLOOKUP($A80,HH_Jobs_CorridorLength!$A$2:$F$116,6,FALSE)</f>
        <v>2720.618827234675</v>
      </c>
      <c r="J80" s="62">
        <f t="shared" si="68"/>
        <v>0</v>
      </c>
      <c r="K80" s="319">
        <f>VLOOKUP(A80,Low_Income_Minority!$A$3:$J$115,8,FALSE)</f>
        <v>0.8153611369207862</v>
      </c>
      <c r="L80" s="60">
        <f>IF(Minority&gt;=Minority_Thrshld,Min_Pts,0)</f>
        <v>5</v>
      </c>
      <c r="M80" s="321">
        <f>VLOOKUP(A80,Low_Income_Minority!$A$3:$J$115,10,FALSE)</f>
        <v>0</v>
      </c>
      <c r="N80" s="61">
        <f t="shared" si="69"/>
        <v>0</v>
      </c>
      <c r="O80" s="57" t="str">
        <f>VLOOKUP(A80,Primary_Connections_To_Centers!$A$3:$K$116,9,FALSE)</f>
        <v>Yes</v>
      </c>
      <c r="P80" s="60">
        <f t="shared" si="70"/>
        <v>5</v>
      </c>
      <c r="Q80" s="38" t="str">
        <f>VLOOKUP(A80,Primary_Connections_To_Centers!$A$3:$K$116,10,FALSE)</f>
        <v>No</v>
      </c>
      <c r="R80" s="60">
        <f t="shared" si="71"/>
        <v>0</v>
      </c>
      <c r="S80" s="65">
        <f t="shared" si="72"/>
        <v>10</v>
      </c>
      <c r="T80" s="65"/>
      <c r="U80" s="73"/>
      <c r="V80" s="64">
        <f t="shared" si="73"/>
        <v>30</v>
      </c>
      <c r="W80" s="64">
        <f t="shared" si="74"/>
        <v>30</v>
      </c>
      <c r="X80" s="64">
        <f t="shared" si="75"/>
        <v>0</v>
      </c>
      <c r="Y80" s="38">
        <f>VLOOKUP(A80,Step_II_Load_CostRecovery_Sum!$A$5:$T$117,14,FALSE)</f>
        <v>0.29</v>
      </c>
      <c r="Z80" s="167">
        <f>VLOOKUP($A80,Step_II_Load_CostRecovery_Sum!$A$5:$T$117,15,FALSE)</f>
        <v>0.3</v>
      </c>
      <c r="AA80" s="38">
        <f t="shared" si="76"/>
        <v>0</v>
      </c>
      <c r="AB80" s="167">
        <f t="shared" si="77"/>
        <v>0</v>
      </c>
      <c r="AC80" s="288">
        <f>VLOOKUP($A80,Step_II_Load_CostRecovery_Sum!$A$5:$AE$117,29,FALSE)</f>
        <v>0.10513174404015058</v>
      </c>
      <c r="AD80" s="289">
        <f>VLOOKUP($A80,Step_II_Load_CostRecovery_Sum!$A$5:$AE$117,30,FALSE)</f>
        <v>0.060942597239648684</v>
      </c>
      <c r="AE80" s="290" t="str">
        <f>VLOOKUP($A80,Step_II_Load_CostRecovery_Sum!$A$5:$AE$117,31,FALSE)</f>
        <v>N/A</v>
      </c>
      <c r="AF80" s="38">
        <f t="shared" si="78"/>
        <v>0</v>
      </c>
      <c r="AG80" s="25">
        <f t="shared" si="79"/>
        <v>0</v>
      </c>
      <c r="AH80" s="167" t="str">
        <f t="shared" si="80"/>
        <v>N/A</v>
      </c>
      <c r="AI80" s="38">
        <f t="shared" si="81"/>
        <v>0</v>
      </c>
      <c r="AJ80" s="170" t="str">
        <f t="shared" si="82"/>
        <v>N/A</v>
      </c>
      <c r="AK80" s="25">
        <f t="shared" si="83"/>
        <v>0</v>
      </c>
      <c r="AL80" s="167">
        <f t="shared" si="84"/>
        <v>0</v>
      </c>
      <c r="AN80" s="220">
        <f t="shared" si="85"/>
        <v>0</v>
      </c>
      <c r="AO80" s="26">
        <f t="shared" si="86"/>
        <v>0</v>
      </c>
      <c r="AP80" s="209">
        <f t="shared" si="87"/>
        <v>0</v>
      </c>
      <c r="AQ80" s="38">
        <f t="shared" si="88"/>
        <v>30</v>
      </c>
      <c r="AR80" s="25">
        <f t="shared" si="89"/>
        <v>30</v>
      </c>
      <c r="AS80" s="170">
        <f t="shared" si="90"/>
        <v>0</v>
      </c>
      <c r="AT80" s="253" t="str">
        <f t="shared" si="91"/>
        <v>Local</v>
      </c>
      <c r="AU80" s="251">
        <v>3</v>
      </c>
      <c r="AV80" s="41">
        <v>6</v>
      </c>
      <c r="AW80" s="207">
        <v>6</v>
      </c>
      <c r="AX80" s="175">
        <f t="shared" si="96"/>
        <v>3</v>
      </c>
      <c r="AY80" s="41">
        <f t="shared" si="97"/>
        <v>3</v>
      </c>
      <c r="AZ80" s="207">
        <f t="shared" si="95"/>
        <v>6</v>
      </c>
      <c r="BA80" s="38">
        <f t="shared" si="92"/>
        <v>0</v>
      </c>
      <c r="BB80" s="25">
        <f t="shared" si="93"/>
        <v>-3</v>
      </c>
      <c r="BC80" s="167">
        <f t="shared" si="94"/>
        <v>0</v>
      </c>
    </row>
    <row r="81" spans="1:55" ht="12.75">
      <c r="A81" t="s">
        <v>215</v>
      </c>
      <c r="B81" s="79">
        <v>78</v>
      </c>
      <c r="C81" s="5" t="s">
        <v>216</v>
      </c>
      <c r="D81" s="6" t="s">
        <v>92</v>
      </c>
      <c r="E81" s="17" t="s">
        <v>217</v>
      </c>
      <c r="F81" s="7">
        <v>903</v>
      </c>
      <c r="G81" s="67">
        <f>VLOOKUP($A81,HH_Jobs_CorridorLength!$A$2:$F$116,5,FALSE)</f>
        <v>766.9075144508671</v>
      </c>
      <c r="H81" s="62">
        <f t="shared" si="67"/>
        <v>0</v>
      </c>
      <c r="I81" s="67">
        <f>VLOOKUP($A81,HH_Jobs_CorridorLength!$A$2:$F$116,6,FALSE)</f>
        <v>1152.8901734104047</v>
      </c>
      <c r="J81" s="62">
        <f t="shared" si="68"/>
        <v>0</v>
      </c>
      <c r="K81" s="319">
        <f>VLOOKUP(A81,Low_Income_Minority!$A$3:$J$115,8,FALSE)</f>
        <v>1</v>
      </c>
      <c r="L81" s="60">
        <f>IF(Minority&gt;=Minority_Thrshld,Min_Pts,0)</f>
        <v>5</v>
      </c>
      <c r="M81" s="321">
        <f>VLOOKUP(A81,Low_Income_Minority!$A$3:$J$115,10,FALSE)</f>
        <v>0.5740740740740741</v>
      </c>
      <c r="N81" s="61">
        <f t="shared" si="69"/>
        <v>5</v>
      </c>
      <c r="O81" s="57" t="str">
        <f>VLOOKUP(A81,Primary_Connections_To_Centers!$A$3:$K$116,9,FALSE)</f>
        <v>No</v>
      </c>
      <c r="P81" s="60">
        <f t="shared" si="70"/>
        <v>0</v>
      </c>
      <c r="Q81" s="38" t="str">
        <f>VLOOKUP(A81,Primary_Connections_To_Centers!$A$3:$K$116,10,FALSE)</f>
        <v>No</v>
      </c>
      <c r="R81" s="60">
        <f t="shared" si="71"/>
        <v>0</v>
      </c>
      <c r="S81" s="65">
        <f t="shared" si="72"/>
        <v>10</v>
      </c>
      <c r="T81" s="65"/>
      <c r="U81" s="73"/>
      <c r="V81" s="64">
        <f t="shared" si="73"/>
        <v>30</v>
      </c>
      <c r="W81" s="64">
        <f t="shared" si="74"/>
        <v>30</v>
      </c>
      <c r="X81" s="64">
        <f t="shared" si="75"/>
        <v>0</v>
      </c>
      <c r="Y81" s="38">
        <f>VLOOKUP(A81,Step_II_Load_CostRecovery_Sum!$A$5:$T$117,14,FALSE)</f>
        <v>0.72</v>
      </c>
      <c r="Z81" s="167">
        <f>VLOOKUP($A81,Step_II_Load_CostRecovery_Sum!$A$5:$T$117,15,FALSE)</f>
        <v>0.52</v>
      </c>
      <c r="AA81" s="38">
        <f t="shared" si="76"/>
        <v>0</v>
      </c>
      <c r="AB81" s="167">
        <f t="shared" si="77"/>
        <v>0</v>
      </c>
      <c r="AC81" s="288">
        <f>VLOOKUP($A81,Step_II_Load_CostRecovery_Sum!$A$5:$AE$117,29,FALSE)</f>
        <v>0.17715181932245924</v>
      </c>
      <c r="AD81" s="289">
        <f>VLOOKUP($A81,Step_II_Load_CostRecovery_Sum!$A$5:$AE$117,30,FALSE)</f>
        <v>0.13710163111668758</v>
      </c>
      <c r="AE81" s="290">
        <f>VLOOKUP($A81,Step_II_Load_CostRecovery_Sum!$A$5:$AE$117,31,FALSE)</f>
        <v>0.10098180677540779</v>
      </c>
      <c r="AF81" s="38">
        <f t="shared" si="78"/>
        <v>0</v>
      </c>
      <c r="AG81" s="25">
        <f t="shared" si="79"/>
        <v>0</v>
      </c>
      <c r="AH81" s="167">
        <f t="shared" si="80"/>
        <v>0</v>
      </c>
      <c r="AI81" s="38">
        <f t="shared" si="81"/>
        <v>0</v>
      </c>
      <c r="AJ81" s="170">
        <f t="shared" si="82"/>
        <v>60</v>
      </c>
      <c r="AK81" s="25">
        <f t="shared" si="83"/>
        <v>0</v>
      </c>
      <c r="AL81" s="167">
        <f t="shared" si="84"/>
        <v>60</v>
      </c>
      <c r="AN81" s="220">
        <f t="shared" si="85"/>
        <v>0</v>
      </c>
      <c r="AO81" s="26">
        <f t="shared" si="86"/>
        <v>0</v>
      </c>
      <c r="AP81" s="209">
        <f t="shared" si="87"/>
        <v>0</v>
      </c>
      <c r="AQ81" s="38">
        <f t="shared" si="88"/>
        <v>30</v>
      </c>
      <c r="AR81" s="25">
        <f t="shared" si="89"/>
        <v>30</v>
      </c>
      <c r="AS81" s="170">
        <f t="shared" si="90"/>
        <v>60</v>
      </c>
      <c r="AT81" s="253" t="str">
        <f t="shared" si="91"/>
        <v>Local</v>
      </c>
      <c r="AU81" s="251">
        <v>3</v>
      </c>
      <c r="AV81" s="41">
        <v>3</v>
      </c>
      <c r="AW81" s="207">
        <v>5</v>
      </c>
      <c r="AX81" s="175">
        <f t="shared" si="96"/>
        <v>3</v>
      </c>
      <c r="AY81" s="41">
        <f t="shared" si="97"/>
        <v>3</v>
      </c>
      <c r="AZ81" s="207">
        <f t="shared" si="95"/>
        <v>5</v>
      </c>
      <c r="BA81" s="38">
        <f t="shared" si="92"/>
        <v>0</v>
      </c>
      <c r="BB81" s="25">
        <f t="shared" si="93"/>
        <v>0</v>
      </c>
      <c r="BC81" s="167">
        <f t="shared" si="94"/>
        <v>0</v>
      </c>
    </row>
    <row r="82" spans="1:55" ht="12.75">
      <c r="A82" t="s">
        <v>163</v>
      </c>
      <c r="B82" s="79">
        <v>79</v>
      </c>
      <c r="C82" s="5" t="s">
        <v>164</v>
      </c>
      <c r="D82" s="6" t="s">
        <v>165</v>
      </c>
      <c r="E82" s="17" t="s">
        <v>166</v>
      </c>
      <c r="F82" s="10">
        <v>128</v>
      </c>
      <c r="G82" s="67">
        <f>VLOOKUP($A82,HH_Jobs_CorridorLength!$A$2:$F$116,5,FALSE)</f>
        <v>998.982060323811</v>
      </c>
      <c r="H82" s="62">
        <f t="shared" si="67"/>
        <v>0</v>
      </c>
      <c r="I82" s="67">
        <f>VLOOKUP($A82,HH_Jobs_CorridorLength!$A$2:$F$116,6,FALSE)</f>
        <v>605.5713322692505</v>
      </c>
      <c r="J82" s="62">
        <f t="shared" si="68"/>
        <v>0</v>
      </c>
      <c r="K82" s="319">
        <f>VLOOKUP(A82,Low_Income_Minority!$A$3:$J$115,8,FALSE)</f>
        <v>0.7694336094633184</v>
      </c>
      <c r="L82" s="60">
        <f>IF(Minority&gt;=Minority_Thrshld,Min_Pts,0)</f>
        <v>5</v>
      </c>
      <c r="M82" s="321">
        <f>VLOOKUP(A82,Low_Income_Minority!$A$3:$J$115,10,FALSE)</f>
        <v>0.5096962029472302</v>
      </c>
      <c r="N82" s="61">
        <f t="shared" si="69"/>
        <v>0</v>
      </c>
      <c r="O82" s="57" t="str">
        <f>VLOOKUP(A82,Primary_Connections_To_Centers!$A$3:$K$116,9,FALSE)</f>
        <v>Yes</v>
      </c>
      <c r="P82" s="60">
        <f t="shared" si="70"/>
        <v>5</v>
      </c>
      <c r="Q82" s="38" t="str">
        <f>VLOOKUP(A82,Primary_Connections_To_Centers!$A$3:$K$116,10,FALSE)</f>
        <v>No</v>
      </c>
      <c r="R82" s="60">
        <f t="shared" si="71"/>
        <v>0</v>
      </c>
      <c r="S82" s="65">
        <f t="shared" si="72"/>
        <v>10</v>
      </c>
      <c r="T82" s="65"/>
      <c r="U82" s="73"/>
      <c r="V82" s="64">
        <f t="shared" si="73"/>
        <v>30</v>
      </c>
      <c r="W82" s="64">
        <f t="shared" si="74"/>
        <v>30</v>
      </c>
      <c r="X82" s="64">
        <f t="shared" si="75"/>
        <v>0</v>
      </c>
      <c r="Y82" s="38">
        <f>VLOOKUP(A82,Step_II_Load_CostRecovery_Sum!$A$5:$T$117,14,FALSE)</f>
        <v>0.65</v>
      </c>
      <c r="Z82" s="167">
        <f>VLOOKUP($A82,Step_II_Load_CostRecovery_Sum!$A$5:$T$117,15,FALSE)</f>
        <v>0.62</v>
      </c>
      <c r="AA82" s="38">
        <f t="shared" si="76"/>
        <v>0</v>
      </c>
      <c r="AB82" s="167">
        <f t="shared" si="77"/>
        <v>0</v>
      </c>
      <c r="AC82" s="288">
        <f>VLOOKUP($A82,Step_II_Load_CostRecovery_Sum!$A$5:$AE$117,29,FALSE)</f>
        <v>0.37209849435382686</v>
      </c>
      <c r="AD82" s="289">
        <f>VLOOKUP($A82,Step_II_Load_CostRecovery_Sum!$A$5:$AE$117,30,FALSE)</f>
        <v>0.2705912797992472</v>
      </c>
      <c r="AE82" s="290">
        <f>VLOOKUP($A82,Step_II_Load_CostRecovery_Sum!$A$5:$AE$117,31,FALSE)</f>
        <v>0.12319165621079047</v>
      </c>
      <c r="AF82" s="38">
        <f t="shared" si="78"/>
        <v>0</v>
      </c>
      <c r="AG82" s="25">
        <f t="shared" si="79"/>
        <v>0</v>
      </c>
      <c r="AH82" s="167">
        <f t="shared" si="80"/>
        <v>0</v>
      </c>
      <c r="AI82" s="38">
        <f t="shared" si="81"/>
        <v>0</v>
      </c>
      <c r="AJ82" s="170">
        <f t="shared" si="82"/>
        <v>60</v>
      </c>
      <c r="AK82" s="25">
        <f t="shared" si="83"/>
        <v>0</v>
      </c>
      <c r="AL82" s="167">
        <f t="shared" si="84"/>
        <v>60</v>
      </c>
      <c r="AN82" s="220">
        <f t="shared" si="85"/>
        <v>0</v>
      </c>
      <c r="AO82" s="26">
        <f t="shared" si="86"/>
        <v>0</v>
      </c>
      <c r="AP82" s="209">
        <f t="shared" si="87"/>
        <v>0</v>
      </c>
      <c r="AQ82" s="38">
        <f t="shared" si="88"/>
        <v>30</v>
      </c>
      <c r="AR82" s="25">
        <f t="shared" si="89"/>
        <v>30</v>
      </c>
      <c r="AS82" s="170">
        <f t="shared" si="90"/>
        <v>60</v>
      </c>
      <c r="AT82" s="253" t="str">
        <f t="shared" si="91"/>
        <v>Local</v>
      </c>
      <c r="AU82" s="251">
        <v>3</v>
      </c>
      <c r="AV82" s="41">
        <v>3</v>
      </c>
      <c r="AW82" s="207">
        <v>3</v>
      </c>
      <c r="AX82" s="175">
        <f t="shared" si="96"/>
        <v>3</v>
      </c>
      <c r="AY82" s="41">
        <f t="shared" si="97"/>
        <v>3</v>
      </c>
      <c r="AZ82" s="207">
        <f t="shared" si="95"/>
        <v>5</v>
      </c>
      <c r="BA82" s="38">
        <f t="shared" si="92"/>
        <v>0</v>
      </c>
      <c r="BB82" s="25">
        <f t="shared" si="93"/>
        <v>0</v>
      </c>
      <c r="BC82" s="167">
        <f t="shared" si="94"/>
        <v>2</v>
      </c>
    </row>
    <row r="83" spans="1:55" ht="12.75">
      <c r="A83" t="s">
        <v>161</v>
      </c>
      <c r="B83" s="79">
        <v>80</v>
      </c>
      <c r="C83" s="5" t="s">
        <v>119</v>
      </c>
      <c r="D83" s="6" t="s">
        <v>98</v>
      </c>
      <c r="E83" s="17" t="s">
        <v>162</v>
      </c>
      <c r="F83" s="10">
        <v>240</v>
      </c>
      <c r="G83" s="67">
        <f>VLOOKUP($A83,HH_Jobs_CorridorLength!$A$2:$F$116,5,FALSE)</f>
        <v>758.1868306045455</v>
      </c>
      <c r="H83" s="62">
        <f t="shared" si="67"/>
        <v>0</v>
      </c>
      <c r="I83" s="67">
        <f>VLOOKUP($A83,HH_Jobs_CorridorLength!$A$2:$F$116,6,FALSE)</f>
        <v>2149.827382731277</v>
      </c>
      <c r="J83" s="62">
        <f t="shared" si="68"/>
        <v>0</v>
      </c>
      <c r="K83" s="319">
        <f>VLOOKUP(A83,Low_Income_Minority!$A$3:$J$115,8,FALSE)</f>
        <v>0.7839555200446915</v>
      </c>
      <c r="L83" s="60">
        <f>IF(Minority&gt;=Minority_Thrshld,Min_Pts,0)</f>
        <v>5</v>
      </c>
      <c r="M83" s="321">
        <f>VLOOKUP(A83,Low_Income_Minority!$A$3:$J$115,10,FALSE)</f>
        <v>0.33405197038234025</v>
      </c>
      <c r="N83" s="61">
        <f t="shared" si="69"/>
        <v>0</v>
      </c>
      <c r="O83" s="57" t="str">
        <f>VLOOKUP(A83,Primary_Connections_To_Centers!$A$3:$K$116,9,FALSE)</f>
        <v>Yes</v>
      </c>
      <c r="P83" s="60">
        <f t="shared" si="70"/>
        <v>5</v>
      </c>
      <c r="Q83" s="38" t="str">
        <f>VLOOKUP(A83,Primary_Connections_To_Centers!$A$3:$K$116,10,FALSE)</f>
        <v>No</v>
      </c>
      <c r="R83" s="60">
        <f t="shared" si="71"/>
        <v>0</v>
      </c>
      <c r="S83" s="65">
        <f t="shared" si="72"/>
        <v>10</v>
      </c>
      <c r="T83" s="65"/>
      <c r="U83" s="73"/>
      <c r="V83" s="64">
        <f t="shared" si="73"/>
        <v>30</v>
      </c>
      <c r="W83" s="64">
        <f t="shared" si="74"/>
        <v>30</v>
      </c>
      <c r="X83" s="64">
        <f t="shared" si="75"/>
        <v>0</v>
      </c>
      <c r="Y83" s="38">
        <f>VLOOKUP(A83,Step_II_Load_CostRecovery_Sum!$A$5:$T$117,14,FALSE)</f>
        <v>0.47</v>
      </c>
      <c r="Z83" s="167">
        <f>VLOOKUP($A83,Step_II_Load_CostRecovery_Sum!$A$5:$T$117,15,FALSE)</f>
        <v>0.48</v>
      </c>
      <c r="AA83" s="38">
        <f t="shared" si="76"/>
        <v>0</v>
      </c>
      <c r="AB83" s="167">
        <f t="shared" si="77"/>
        <v>0</v>
      </c>
      <c r="AC83" s="288">
        <f>VLOOKUP($A83,Step_II_Load_CostRecovery_Sum!$A$5:$AE$117,29,FALSE)</f>
        <v>0.2265119196988708</v>
      </c>
      <c r="AD83" s="289">
        <f>VLOOKUP($A83,Step_II_Load_CostRecovery_Sum!$A$5:$AE$117,30,FALSE)</f>
        <v>0.1662280426599749</v>
      </c>
      <c r="AE83" s="290">
        <f>VLOOKUP($A83,Step_II_Load_CostRecovery_Sum!$A$5:$AE$117,31,FALSE)</f>
        <v>0.09452634880803011</v>
      </c>
      <c r="AF83" s="38">
        <f t="shared" si="78"/>
        <v>0</v>
      </c>
      <c r="AG83" s="25">
        <f t="shared" si="79"/>
        <v>0</v>
      </c>
      <c r="AH83" s="167">
        <f t="shared" si="80"/>
        <v>0</v>
      </c>
      <c r="AI83" s="38">
        <f t="shared" si="81"/>
        <v>0</v>
      </c>
      <c r="AJ83" s="170">
        <f t="shared" si="82"/>
        <v>60</v>
      </c>
      <c r="AK83" s="25">
        <f t="shared" si="83"/>
        <v>0</v>
      </c>
      <c r="AL83" s="167">
        <f t="shared" si="84"/>
        <v>60</v>
      </c>
      <c r="AN83" s="220">
        <f t="shared" si="85"/>
        <v>0</v>
      </c>
      <c r="AO83" s="26">
        <f t="shared" si="86"/>
        <v>0</v>
      </c>
      <c r="AP83" s="209">
        <f t="shared" si="87"/>
        <v>0</v>
      </c>
      <c r="AQ83" s="38">
        <f t="shared" si="88"/>
        <v>30</v>
      </c>
      <c r="AR83" s="25">
        <f t="shared" si="89"/>
        <v>30</v>
      </c>
      <c r="AS83" s="170">
        <f t="shared" si="90"/>
        <v>60</v>
      </c>
      <c r="AT83" s="253" t="str">
        <f t="shared" si="91"/>
        <v>Local</v>
      </c>
      <c r="AU83" s="251">
        <v>3</v>
      </c>
      <c r="AV83" s="41">
        <v>3</v>
      </c>
      <c r="AW83" s="207">
        <v>5</v>
      </c>
      <c r="AX83" s="175">
        <f t="shared" si="96"/>
        <v>3</v>
      </c>
      <c r="AY83" s="41">
        <f t="shared" si="97"/>
        <v>3</v>
      </c>
      <c r="AZ83" s="207">
        <f t="shared" si="95"/>
        <v>5</v>
      </c>
      <c r="BA83" s="38">
        <f t="shared" si="92"/>
        <v>0</v>
      </c>
      <c r="BB83" s="25">
        <f t="shared" si="93"/>
        <v>0</v>
      </c>
      <c r="BC83" s="167">
        <f t="shared" si="94"/>
        <v>0</v>
      </c>
    </row>
    <row r="84" spans="1:55" ht="12.75">
      <c r="A84" t="s">
        <v>212</v>
      </c>
      <c r="B84" s="79">
        <v>81</v>
      </c>
      <c r="C84" s="5" t="s">
        <v>119</v>
      </c>
      <c r="D84" s="6" t="s">
        <v>213</v>
      </c>
      <c r="E84" s="17" t="s">
        <v>214</v>
      </c>
      <c r="F84" s="10">
        <v>271</v>
      </c>
      <c r="G84" s="67">
        <f>VLOOKUP($A84,HH_Jobs_CorridorLength!$A$2:$F$116,5,FALSE)</f>
        <v>455.50081408818573</v>
      </c>
      <c r="H84" s="62">
        <f t="shared" si="67"/>
        <v>0</v>
      </c>
      <c r="I84" s="67">
        <f>VLOOKUP($A84,HH_Jobs_CorridorLength!$A$2:$F$116,6,FALSE)</f>
        <v>3186.9805842844157</v>
      </c>
      <c r="J84" s="62">
        <f t="shared" si="68"/>
        <v>0</v>
      </c>
      <c r="K84" s="319">
        <f>VLOOKUP(A84,Low_Income_Minority!$A$3:$J$115,8,FALSE)</f>
        <v>0.8231545163308348</v>
      </c>
      <c r="L84" s="355">
        <f>IF(Minority&gt;=Minority_Thrshld,Min_Pts,0)</f>
        <v>5</v>
      </c>
      <c r="M84" s="321">
        <f>VLOOKUP(A84,Low_Income_Minority!$A$3:$J$115,10,FALSE)</f>
        <v>0.4065566221983646</v>
      </c>
      <c r="N84" s="357">
        <f t="shared" si="69"/>
        <v>0</v>
      </c>
      <c r="O84" s="57" t="str">
        <f>VLOOKUP(A84,Primary_Connections_To_Centers!$A$3:$K$116,9,FALSE)</f>
        <v>Yes</v>
      </c>
      <c r="P84" s="355">
        <f t="shared" si="70"/>
        <v>5</v>
      </c>
      <c r="Q84" s="38" t="str">
        <f>VLOOKUP(A84,Primary_Connections_To_Centers!$A$3:$K$116,10,FALSE)</f>
        <v>No</v>
      </c>
      <c r="R84" s="355">
        <f t="shared" si="71"/>
        <v>0</v>
      </c>
      <c r="S84" s="65">
        <f t="shared" si="72"/>
        <v>10</v>
      </c>
      <c r="T84" s="65"/>
      <c r="U84" s="73"/>
      <c r="V84" s="64">
        <f t="shared" si="73"/>
        <v>30</v>
      </c>
      <c r="W84" s="64">
        <f t="shared" si="74"/>
        <v>30</v>
      </c>
      <c r="X84" s="64">
        <f t="shared" si="75"/>
        <v>0</v>
      </c>
      <c r="Y84" s="38">
        <f>VLOOKUP($A84,Step_II_Load_CostRecovery_Sum!$A$5:$T$117,14,FALSE)</f>
        <v>0.59</v>
      </c>
      <c r="Z84" s="167">
        <f>VLOOKUP($A84,Step_II_Load_CostRecovery_Sum!$A$5:$T$117,15,FALSE)</f>
        <v>0.69</v>
      </c>
      <c r="AA84" s="38">
        <f t="shared" si="76"/>
        <v>0</v>
      </c>
      <c r="AB84" s="167">
        <f t="shared" si="77"/>
        <v>0</v>
      </c>
      <c r="AC84" s="288">
        <f>VLOOKUP($A84,Step_II_Load_CostRecovery_Sum!$A$5:$AE$117,29,FALSE)</f>
        <v>0.25374058971141783</v>
      </c>
      <c r="AD84" s="289">
        <f>VLOOKUP($A84,Step_II_Load_CostRecovery_Sum!$A$5:$AE$117,30,FALSE)</f>
        <v>0.14763017565872022</v>
      </c>
      <c r="AE84" s="290">
        <f>VLOOKUP($A84,Step_II_Load_CostRecovery_Sum!$A$5:$AE$117,31,FALSE)</f>
        <v>0.08622647427854455</v>
      </c>
      <c r="AF84" s="38">
        <f t="shared" si="78"/>
        <v>0</v>
      </c>
      <c r="AG84" s="25">
        <f t="shared" si="79"/>
        <v>0</v>
      </c>
      <c r="AH84" s="167">
        <f t="shared" si="80"/>
        <v>0</v>
      </c>
      <c r="AI84" s="38">
        <f t="shared" si="81"/>
        <v>0</v>
      </c>
      <c r="AJ84" s="170">
        <f t="shared" si="82"/>
        <v>60</v>
      </c>
      <c r="AK84" s="25">
        <f t="shared" si="83"/>
        <v>0</v>
      </c>
      <c r="AL84" s="167">
        <f t="shared" si="84"/>
        <v>60</v>
      </c>
      <c r="AN84" s="220">
        <f t="shared" si="85"/>
        <v>0</v>
      </c>
      <c r="AO84" s="26">
        <f t="shared" si="86"/>
        <v>0</v>
      </c>
      <c r="AP84" s="209">
        <f t="shared" si="87"/>
        <v>0</v>
      </c>
      <c r="AQ84" s="38">
        <f t="shared" si="88"/>
        <v>30</v>
      </c>
      <c r="AR84" s="25">
        <f t="shared" si="89"/>
        <v>30</v>
      </c>
      <c r="AS84" s="170">
        <f t="shared" si="90"/>
        <v>60</v>
      </c>
      <c r="AT84" s="253" t="str">
        <f t="shared" si="91"/>
        <v>Local</v>
      </c>
      <c r="AU84" s="251">
        <v>2</v>
      </c>
      <c r="AV84" s="41">
        <v>2</v>
      </c>
      <c r="AW84" s="207">
        <v>3</v>
      </c>
      <c r="AX84" s="175">
        <f t="shared" si="96"/>
        <v>3</v>
      </c>
      <c r="AY84" s="41">
        <f t="shared" si="97"/>
        <v>3</v>
      </c>
      <c r="AZ84" s="207">
        <f t="shared" si="95"/>
        <v>5</v>
      </c>
      <c r="BA84" s="38">
        <f t="shared" si="92"/>
        <v>1</v>
      </c>
      <c r="BB84" s="25">
        <f t="shared" si="93"/>
        <v>1</v>
      </c>
      <c r="BC84" s="167">
        <f t="shared" si="94"/>
        <v>2</v>
      </c>
    </row>
    <row r="85" spans="1:55" ht="12.75">
      <c r="A85" t="s">
        <v>269</v>
      </c>
      <c r="B85" s="79">
        <v>82</v>
      </c>
      <c r="C85" s="5" t="s">
        <v>270</v>
      </c>
      <c r="D85" s="6" t="s">
        <v>21</v>
      </c>
      <c r="E85" s="17" t="s">
        <v>271</v>
      </c>
      <c r="F85" s="7">
        <v>30</v>
      </c>
      <c r="G85" s="67">
        <f>VLOOKUP($A85,HH_Jobs_CorridorLength!$A$2:$F$116,5,FALSE)</f>
        <v>1745.0704225352113</v>
      </c>
      <c r="H85" s="62">
        <f t="shared" si="67"/>
        <v>4</v>
      </c>
      <c r="I85" s="67">
        <f>VLOOKUP($A85,HH_Jobs_CorridorLength!$A$2:$F$116,6,FALSE)</f>
        <v>5595.950704225353</v>
      </c>
      <c r="J85" s="62">
        <f t="shared" si="68"/>
        <v>0</v>
      </c>
      <c r="K85" s="319">
        <f>VLOOKUP(A85,Low_Income_Minority!$A$3:$J$115,8,FALSE)</f>
        <v>0.4281130927285031</v>
      </c>
      <c r="L85" s="60">
        <f>IF(Minority&gt;=Minority_Thrshld,Min_Pts,0)</f>
        <v>0</v>
      </c>
      <c r="M85" s="321">
        <f>VLOOKUP(A85,Low_Income_Minority!$A$3:$J$115,10,FALSE)</f>
        <v>0.9001403641083272</v>
      </c>
      <c r="N85" s="61">
        <f t="shared" si="69"/>
        <v>5</v>
      </c>
      <c r="O85" s="57" t="str">
        <f>VLOOKUP(A85,Primary_Connections_To_Centers!$A$3:$K$116,9,FALSE)</f>
        <v>No</v>
      </c>
      <c r="P85" s="60">
        <f t="shared" si="70"/>
        <v>0</v>
      </c>
      <c r="Q85" s="38" t="str">
        <f>VLOOKUP(A85,Primary_Connections_To_Centers!$A$3:$K$116,10,FALSE)</f>
        <v>No</v>
      </c>
      <c r="R85" s="60">
        <f t="shared" si="71"/>
        <v>0</v>
      </c>
      <c r="S85" s="65">
        <f t="shared" si="72"/>
        <v>9</v>
      </c>
      <c r="T85" s="65"/>
      <c r="U85" s="73"/>
      <c r="V85" s="64">
        <f t="shared" si="73"/>
        <v>60</v>
      </c>
      <c r="W85" s="64">
        <f t="shared" si="74"/>
        <v>60</v>
      </c>
      <c r="X85" s="64">
        <f t="shared" si="75"/>
        <v>0</v>
      </c>
      <c r="Y85" s="38">
        <f>VLOOKUP(A85,Step_II_Load_CostRecovery_Sum!$A$5:$T$117,14,FALSE)</f>
        <v>1.36</v>
      </c>
      <c r="Z85" s="167">
        <f>VLOOKUP($A85,Step_II_Load_CostRecovery_Sum!$A$5:$T$117,15,FALSE)</f>
        <v>1.22</v>
      </c>
      <c r="AA85" s="38">
        <f t="shared" si="76"/>
        <v>1</v>
      </c>
      <c r="AB85" s="167">
        <f t="shared" si="77"/>
        <v>1</v>
      </c>
      <c r="AC85" s="288">
        <f>VLOOKUP($A85,Step_II_Load_CostRecovery_Sum!$A$5:$AE$117,29,FALSE)</f>
        <v>0.6041781681304894</v>
      </c>
      <c r="AD85" s="289">
        <f>VLOOKUP($A85,Step_II_Load_CostRecovery_Sum!$A$5:$AE$117,30,FALSE)</f>
        <v>0.44373588456712676</v>
      </c>
      <c r="AE85" s="290">
        <f>VLOOKUP($A85,Step_II_Load_CostRecovery_Sum!$A$5:$AE$117,31,FALSE)</f>
        <v>0.19204987452948555</v>
      </c>
      <c r="AF85" s="38">
        <f t="shared" si="78"/>
        <v>1</v>
      </c>
      <c r="AG85" s="25">
        <f t="shared" si="79"/>
        <v>0</v>
      </c>
      <c r="AH85" s="167">
        <f t="shared" si="80"/>
        <v>0</v>
      </c>
      <c r="AI85" s="38">
        <f t="shared" si="81"/>
        <v>0</v>
      </c>
      <c r="AJ85" s="170">
        <f t="shared" si="82"/>
        <v>30</v>
      </c>
      <c r="AK85" s="25">
        <f t="shared" si="83"/>
        <v>0</v>
      </c>
      <c r="AL85" s="167">
        <f t="shared" si="84"/>
        <v>30</v>
      </c>
      <c r="AN85" s="220">
        <f t="shared" si="85"/>
        <v>1</v>
      </c>
      <c r="AO85" s="26">
        <f t="shared" si="86"/>
        <v>1</v>
      </c>
      <c r="AP85" s="209">
        <f t="shared" si="87"/>
        <v>0</v>
      </c>
      <c r="AQ85" s="38">
        <f t="shared" si="88"/>
        <v>30</v>
      </c>
      <c r="AR85" s="25">
        <f t="shared" si="89"/>
        <v>30</v>
      </c>
      <c r="AS85" s="170">
        <f t="shared" si="90"/>
        <v>30</v>
      </c>
      <c r="AT85" s="253" t="str">
        <f t="shared" si="91"/>
        <v>Local</v>
      </c>
      <c r="AU85" s="251">
        <v>3</v>
      </c>
      <c r="AV85" s="41">
        <v>3</v>
      </c>
      <c r="AW85" s="207">
        <v>3</v>
      </c>
      <c r="AX85" s="175">
        <f aca="true" t="shared" si="98" ref="AX85:AY89">IF(AQ85="Better than 15 min",1,IF(AQ85=15,2,IF(AQ85=30,3,IF(AQ85=60,5,6))))</f>
        <v>3</v>
      </c>
      <c r="AY85" s="41">
        <f t="shared" si="98"/>
        <v>3</v>
      </c>
      <c r="AZ85" s="207">
        <f t="shared" si="95"/>
        <v>3</v>
      </c>
      <c r="BA85" s="38">
        <f t="shared" si="92"/>
        <v>0</v>
      </c>
      <c r="BB85" s="25">
        <f t="shared" si="93"/>
        <v>0</v>
      </c>
      <c r="BC85" s="167">
        <f t="shared" si="94"/>
        <v>0</v>
      </c>
    </row>
    <row r="86" spans="1:55" ht="12.75">
      <c r="A86" t="s">
        <v>205</v>
      </c>
      <c r="B86" s="79">
        <v>83</v>
      </c>
      <c r="C86" s="5" t="s">
        <v>129</v>
      </c>
      <c r="D86" s="6" t="s">
        <v>83</v>
      </c>
      <c r="E86" s="17" t="s">
        <v>206</v>
      </c>
      <c r="F86" s="6">
        <v>5</v>
      </c>
      <c r="G86" s="67">
        <f>VLOOKUP($A86,HH_Jobs_CorridorLength!$A$2:$F$116,5,FALSE)</f>
        <v>1694.0327902010538</v>
      </c>
      <c r="H86" s="62">
        <f t="shared" si="67"/>
        <v>4</v>
      </c>
      <c r="I86" s="67">
        <f>VLOOKUP($A86,HH_Jobs_CorridorLength!$A$2:$F$116,6,FALSE)</f>
        <v>887.6148867952264</v>
      </c>
      <c r="J86" s="62">
        <f t="shared" si="68"/>
        <v>0</v>
      </c>
      <c r="K86" s="319">
        <f>VLOOKUP(A86,Low_Income_Minority!$A$3:$J$115,8,FALSE)</f>
        <v>0.06581270573609362</v>
      </c>
      <c r="L86" s="60">
        <f>IF(Minority&gt;=Minority_Thrshld,Min_Pts,0)</f>
        <v>0</v>
      </c>
      <c r="M86" s="321">
        <f>VLOOKUP(A86,Low_Income_Minority!$A$3:$J$115,10,FALSE)</f>
        <v>0.2682707287773536</v>
      </c>
      <c r="N86" s="61">
        <f t="shared" si="69"/>
        <v>0</v>
      </c>
      <c r="O86" s="57" t="str">
        <f>VLOOKUP(A86,Primary_Connections_To_Centers!$A$3:$K$116,9,FALSE)</f>
        <v>Yes</v>
      </c>
      <c r="P86" s="60">
        <f t="shared" si="70"/>
        <v>5</v>
      </c>
      <c r="Q86" s="38" t="str">
        <f>VLOOKUP(A86,Primary_Connections_To_Centers!$A$3:$K$116,10,FALSE)</f>
        <v>No</v>
      </c>
      <c r="R86" s="60">
        <f t="shared" si="71"/>
        <v>0</v>
      </c>
      <c r="S86" s="65">
        <f t="shared" si="72"/>
        <v>9</v>
      </c>
      <c r="T86" s="65"/>
      <c r="U86" s="73"/>
      <c r="V86" s="64">
        <f t="shared" si="73"/>
        <v>60</v>
      </c>
      <c r="W86" s="64">
        <f t="shared" si="74"/>
        <v>60</v>
      </c>
      <c r="X86" s="64">
        <f t="shared" si="75"/>
        <v>0</v>
      </c>
      <c r="Y86" s="38">
        <f>VLOOKUP(A86,Step_II_Load_CostRecovery_Sum!$A$5:$T$117,14,FALSE)</f>
        <v>0.65</v>
      </c>
      <c r="Z86" s="167">
        <f>VLOOKUP($A86,Step_II_Load_CostRecovery_Sum!$A$5:$T$117,15,FALSE)</f>
        <v>0.52</v>
      </c>
      <c r="AA86" s="38">
        <f t="shared" si="76"/>
        <v>0</v>
      </c>
      <c r="AB86" s="167">
        <f t="shared" si="77"/>
        <v>0</v>
      </c>
      <c r="AC86" s="288">
        <f>VLOOKUP($A86,Step_II_Load_CostRecovery_Sum!$A$5:$AE$117,29,FALSE)</f>
        <v>0.39350690087829365</v>
      </c>
      <c r="AD86" s="289">
        <f>VLOOKUP($A86,Step_II_Load_CostRecovery_Sum!$A$5:$AE$117,30,FALSE)</f>
        <v>0.33553011292346296</v>
      </c>
      <c r="AE86" s="290">
        <f>VLOOKUP($A86,Step_II_Load_CostRecovery_Sum!$A$5:$AE$117,31,FALSE)</f>
        <v>0.10251882057716437</v>
      </c>
      <c r="AF86" s="38">
        <f t="shared" si="78"/>
        <v>0</v>
      </c>
      <c r="AG86" s="25">
        <f t="shared" si="79"/>
        <v>0</v>
      </c>
      <c r="AH86" s="167">
        <f t="shared" si="80"/>
        <v>0</v>
      </c>
      <c r="AI86" s="38">
        <f t="shared" si="81"/>
        <v>0</v>
      </c>
      <c r="AJ86" s="170">
        <f t="shared" si="82"/>
        <v>60</v>
      </c>
      <c r="AK86" s="25">
        <f t="shared" si="83"/>
        <v>0</v>
      </c>
      <c r="AL86" s="167">
        <f t="shared" si="84"/>
        <v>60</v>
      </c>
      <c r="AN86" s="220">
        <f t="shared" si="85"/>
        <v>0</v>
      </c>
      <c r="AO86" s="26">
        <f t="shared" si="86"/>
        <v>0</v>
      </c>
      <c r="AP86" s="209">
        <f t="shared" si="87"/>
        <v>0</v>
      </c>
      <c r="AQ86" s="38">
        <f t="shared" si="88"/>
        <v>60</v>
      </c>
      <c r="AR86" s="25">
        <f t="shared" si="89"/>
        <v>60</v>
      </c>
      <c r="AS86" s="170">
        <f t="shared" si="90"/>
        <v>60</v>
      </c>
      <c r="AT86" s="253" t="str">
        <f t="shared" si="91"/>
        <v>Hourly</v>
      </c>
      <c r="AU86" s="251">
        <v>3</v>
      </c>
      <c r="AV86" s="41">
        <v>3</v>
      </c>
      <c r="AW86" s="207">
        <v>3</v>
      </c>
      <c r="AX86" s="175">
        <f t="shared" si="98"/>
        <v>5</v>
      </c>
      <c r="AY86" s="41">
        <f t="shared" si="98"/>
        <v>5</v>
      </c>
      <c r="AZ86" s="207">
        <f t="shared" si="95"/>
        <v>5</v>
      </c>
      <c r="BA86" s="38">
        <f t="shared" si="92"/>
        <v>2</v>
      </c>
      <c r="BB86" s="25">
        <f t="shared" si="93"/>
        <v>2</v>
      </c>
      <c r="BC86" s="167">
        <f t="shared" si="94"/>
        <v>2</v>
      </c>
    </row>
    <row r="87" spans="1:55" ht="12.75">
      <c r="A87" t="s">
        <v>203</v>
      </c>
      <c r="B87" s="79">
        <v>84</v>
      </c>
      <c r="C87" s="5" t="s">
        <v>129</v>
      </c>
      <c r="D87" s="6" t="s">
        <v>105</v>
      </c>
      <c r="E87" s="17" t="s">
        <v>204</v>
      </c>
      <c r="F87" s="6">
        <v>330</v>
      </c>
      <c r="G87" s="67">
        <f>VLOOKUP($A87,HH_Jobs_CorridorLength!$A$2:$F$116,5,FALSE)</f>
        <v>1197.5910441684669</v>
      </c>
      <c r="H87" s="62">
        <f t="shared" si="67"/>
        <v>4</v>
      </c>
      <c r="I87" s="67">
        <f>VLOOKUP($A87,HH_Jobs_CorridorLength!$A$2:$F$116,6,FALSE)</f>
        <v>870.0004779901652</v>
      </c>
      <c r="J87" s="62">
        <f t="shared" si="68"/>
        <v>0</v>
      </c>
      <c r="K87" s="319">
        <f>VLOOKUP(A87,Low_Income_Minority!$A$3:$J$115,8,FALSE)</f>
        <v>0.4873892299748036</v>
      </c>
      <c r="L87" s="60">
        <f>IF(Minority&gt;=Minority_Thrshld,Min_Pts,0)</f>
        <v>0</v>
      </c>
      <c r="M87" s="321">
        <f>VLOOKUP(A87,Low_Income_Minority!$A$3:$J$115,10,FALSE)</f>
        <v>0.32310838346776616</v>
      </c>
      <c r="N87" s="61">
        <f t="shared" si="69"/>
        <v>0</v>
      </c>
      <c r="O87" s="57" t="str">
        <f>VLOOKUP(A87,Primary_Connections_To_Centers!$A$3:$K$116,9,FALSE)</f>
        <v>Yes</v>
      </c>
      <c r="P87" s="60">
        <f t="shared" si="70"/>
        <v>5</v>
      </c>
      <c r="Q87" s="38" t="str">
        <f>VLOOKUP(A87,Primary_Connections_To_Centers!$A$3:$K$116,10,FALSE)</f>
        <v>No</v>
      </c>
      <c r="R87" s="60">
        <f t="shared" si="71"/>
        <v>0</v>
      </c>
      <c r="S87" s="65">
        <f t="shared" si="72"/>
        <v>9</v>
      </c>
      <c r="T87" s="65"/>
      <c r="U87" s="73"/>
      <c r="V87" s="64">
        <f t="shared" si="73"/>
        <v>60</v>
      </c>
      <c r="W87" s="64">
        <f t="shared" si="74"/>
        <v>60</v>
      </c>
      <c r="X87" s="64">
        <f t="shared" si="75"/>
        <v>0</v>
      </c>
      <c r="Y87" s="38">
        <f>VLOOKUP(A87,Step_II_Load_CostRecovery_Sum!$A$5:$T$117,14,FALSE)</f>
        <v>0.88</v>
      </c>
      <c r="Z87" s="167" t="str">
        <f>VLOOKUP($A87,Step_II_Load_CostRecovery_Sum!$A$5:$T$117,15,FALSE)</f>
        <v>N/A</v>
      </c>
      <c r="AA87" s="38">
        <f t="shared" si="76"/>
        <v>1</v>
      </c>
      <c r="AB87" s="167" t="str">
        <f t="shared" si="77"/>
        <v>N/A</v>
      </c>
      <c r="AC87" s="288">
        <f>VLOOKUP($A87,Step_II_Load_CostRecovery_Sum!$A$5:$AE$117,29,FALSE)</f>
        <v>0.4649702007528231</v>
      </c>
      <c r="AD87" s="289" t="str">
        <f>VLOOKUP($A87,Step_II_Load_CostRecovery_Sum!$A$5:$AE$117,30,FALSE)</f>
        <v>N/A</v>
      </c>
      <c r="AE87" s="290" t="str">
        <f>VLOOKUP($A87,Step_II_Load_CostRecovery_Sum!$A$5:$AE$117,31,FALSE)</f>
        <v>N/A</v>
      </c>
      <c r="AF87" s="38">
        <f t="shared" si="78"/>
        <v>0</v>
      </c>
      <c r="AG87" s="25" t="str">
        <f t="shared" si="79"/>
        <v>N/A</v>
      </c>
      <c r="AH87" s="167" t="str">
        <f t="shared" si="80"/>
        <v>N/A</v>
      </c>
      <c r="AI87" s="38">
        <f t="shared" si="81"/>
        <v>0</v>
      </c>
      <c r="AJ87" s="170" t="str">
        <f t="shared" si="82"/>
        <v>N/A</v>
      </c>
      <c r="AK87" s="25">
        <f t="shared" si="83"/>
        <v>0</v>
      </c>
      <c r="AL87" s="167">
        <f t="shared" si="84"/>
        <v>0</v>
      </c>
      <c r="AN87" s="220">
        <f t="shared" si="85"/>
        <v>1</v>
      </c>
      <c r="AO87" s="26">
        <f t="shared" si="86"/>
        <v>0</v>
      </c>
      <c r="AP87" s="209">
        <f t="shared" si="87"/>
        <v>0</v>
      </c>
      <c r="AQ87" s="38">
        <f t="shared" si="88"/>
        <v>30</v>
      </c>
      <c r="AR87" s="25">
        <f t="shared" si="89"/>
        <v>60</v>
      </c>
      <c r="AS87" s="170">
        <f t="shared" si="90"/>
        <v>0</v>
      </c>
      <c r="AT87" s="253" t="str">
        <f t="shared" si="91"/>
        <v>Local</v>
      </c>
      <c r="AU87" s="251">
        <v>3</v>
      </c>
      <c r="AV87" s="41">
        <v>6</v>
      </c>
      <c r="AW87" s="207">
        <v>6</v>
      </c>
      <c r="AX87" s="175">
        <f t="shared" si="98"/>
        <v>3</v>
      </c>
      <c r="AY87" s="41">
        <f t="shared" si="98"/>
        <v>5</v>
      </c>
      <c r="AZ87" s="207">
        <f t="shared" si="95"/>
        <v>6</v>
      </c>
      <c r="BA87" s="38">
        <f t="shared" si="92"/>
        <v>0</v>
      </c>
      <c r="BB87" s="25">
        <f t="shared" si="93"/>
        <v>-1</v>
      </c>
      <c r="BC87" s="167">
        <f t="shared" si="94"/>
        <v>0</v>
      </c>
    </row>
    <row r="88" spans="1:55" ht="12.75">
      <c r="A88" t="s">
        <v>264</v>
      </c>
      <c r="B88" s="79">
        <v>85</v>
      </c>
      <c r="C88" s="5" t="s">
        <v>86</v>
      </c>
      <c r="D88" s="6" t="s">
        <v>21</v>
      </c>
      <c r="E88" s="17" t="s">
        <v>265</v>
      </c>
      <c r="F88" s="6">
        <v>68</v>
      </c>
      <c r="G88" s="67">
        <f>VLOOKUP($A88,HH_Jobs_CorridorLength!$A$2:$F$116,5,FALSE)</f>
        <v>1308.0536080014642</v>
      </c>
      <c r="H88" s="62">
        <f t="shared" si="67"/>
        <v>4</v>
      </c>
      <c r="I88" s="67">
        <f>VLOOKUP($A88,HH_Jobs_CorridorLength!$A$2:$F$116,6,FALSE)</f>
        <v>5019.575175532712</v>
      </c>
      <c r="J88" s="62">
        <f t="shared" si="68"/>
        <v>0</v>
      </c>
      <c r="K88" s="319">
        <f>VLOOKUP(A88,Low_Income_Minority!$A$3:$J$115,8,FALSE)</f>
        <v>0.4659173352838799</v>
      </c>
      <c r="L88" s="60">
        <f>IF(Minority&gt;=Minority_Thrshld,Min_Pts,0)</f>
        <v>0</v>
      </c>
      <c r="M88" s="321">
        <f>VLOOKUP(A88,Low_Income_Minority!$A$3:$J$115,10,FALSE)</f>
        <v>0.733284991310315</v>
      </c>
      <c r="N88" s="61">
        <f t="shared" si="69"/>
        <v>5</v>
      </c>
      <c r="O88" s="57" t="str">
        <f>VLOOKUP(A88,Primary_Connections_To_Centers!$A$3:$K$116,9,FALSE)</f>
        <v>No</v>
      </c>
      <c r="P88" s="60">
        <f t="shared" si="70"/>
        <v>0</v>
      </c>
      <c r="Q88" s="38" t="str">
        <f>VLOOKUP(A88,Primary_Connections_To_Centers!$A$3:$K$116,10,FALSE)</f>
        <v>No</v>
      </c>
      <c r="R88" s="60">
        <f t="shared" si="71"/>
        <v>0</v>
      </c>
      <c r="S88" s="65">
        <f t="shared" si="72"/>
        <v>9</v>
      </c>
      <c r="T88" s="65"/>
      <c r="U88" s="73"/>
      <c r="V88" s="64">
        <f t="shared" si="73"/>
        <v>60</v>
      </c>
      <c r="W88" s="64">
        <f t="shared" si="74"/>
        <v>60</v>
      </c>
      <c r="X88" s="64">
        <f t="shared" si="75"/>
        <v>0</v>
      </c>
      <c r="Y88" s="38">
        <f>VLOOKUP(A88,Step_II_Load_CostRecovery_Sum!$A$5:$T$117,14,FALSE)</f>
        <v>1.74</v>
      </c>
      <c r="Z88" s="167">
        <f>VLOOKUP($A88,Step_II_Load_CostRecovery_Sum!$A$5:$T$117,15,FALSE)</f>
        <v>1.64</v>
      </c>
      <c r="AA88" s="38">
        <f t="shared" si="76"/>
        <v>2</v>
      </c>
      <c r="AB88" s="167">
        <f t="shared" si="77"/>
        <v>2</v>
      </c>
      <c r="AC88" s="288">
        <f>VLOOKUP($A88,Step_II_Load_CostRecovery_Sum!$A$5:$AE$117,29,FALSE)</f>
        <v>1.991003764115433</v>
      </c>
      <c r="AD88" s="289">
        <f>VLOOKUP($A88,Step_II_Load_CostRecovery_Sum!$A$5:$AE$117,30,FALSE)</f>
        <v>0.9494902760351317</v>
      </c>
      <c r="AE88" s="290" t="str">
        <f>VLOOKUP($A88,Step_II_Load_CostRecovery_Sum!$A$5:$AE$117,31,FALSE)</f>
        <v>N/A</v>
      </c>
      <c r="AF88" s="38">
        <f t="shared" si="78"/>
        <v>2</v>
      </c>
      <c r="AG88" s="25">
        <f t="shared" si="79"/>
        <v>1</v>
      </c>
      <c r="AH88" s="167" t="str">
        <f t="shared" si="80"/>
        <v>N/A</v>
      </c>
      <c r="AI88" s="38">
        <f t="shared" si="81"/>
        <v>0</v>
      </c>
      <c r="AJ88" s="170" t="str">
        <f t="shared" si="82"/>
        <v>N/A</v>
      </c>
      <c r="AK88" s="25">
        <f t="shared" si="83"/>
        <v>30</v>
      </c>
      <c r="AL88" s="167">
        <f t="shared" si="84"/>
        <v>30</v>
      </c>
      <c r="AN88" s="220">
        <f t="shared" si="85"/>
        <v>2</v>
      </c>
      <c r="AO88" s="26">
        <f t="shared" si="86"/>
        <v>2</v>
      </c>
      <c r="AP88" s="209">
        <f t="shared" si="87"/>
        <v>0</v>
      </c>
      <c r="AQ88" s="38">
        <f t="shared" si="88"/>
        <v>15</v>
      </c>
      <c r="AR88" s="25">
        <f t="shared" si="89"/>
        <v>15</v>
      </c>
      <c r="AS88" s="170">
        <f t="shared" si="90"/>
        <v>30</v>
      </c>
      <c r="AT88" s="253" t="str">
        <f t="shared" si="91"/>
        <v>Very Frequent</v>
      </c>
      <c r="AU88" s="251">
        <v>2</v>
      </c>
      <c r="AV88" s="41">
        <v>3</v>
      </c>
      <c r="AW88" s="207">
        <v>6</v>
      </c>
      <c r="AX88" s="175">
        <f t="shared" si="98"/>
        <v>2</v>
      </c>
      <c r="AY88" s="41">
        <f t="shared" si="98"/>
        <v>2</v>
      </c>
      <c r="AZ88" s="207">
        <f t="shared" si="95"/>
        <v>3</v>
      </c>
      <c r="BA88" s="38">
        <f t="shared" si="92"/>
        <v>0</v>
      </c>
      <c r="BB88" s="25">
        <f t="shared" si="93"/>
        <v>-1</v>
      </c>
      <c r="BC88" s="167">
        <f t="shared" si="94"/>
        <v>-3</v>
      </c>
    </row>
    <row r="89" spans="1:55" ht="12.75">
      <c r="A89" t="s">
        <v>195</v>
      </c>
      <c r="B89" s="79">
        <v>86</v>
      </c>
      <c r="C89" s="5" t="s">
        <v>196</v>
      </c>
      <c r="D89" s="6" t="s">
        <v>197</v>
      </c>
      <c r="E89" s="17" t="s">
        <v>198</v>
      </c>
      <c r="F89" s="6">
        <v>39</v>
      </c>
      <c r="G89" s="67">
        <f>VLOOKUP($A89,HH_Jobs_CorridorLength!$A$2:$F$116,5,FALSE)</f>
        <v>1083.3809613366368</v>
      </c>
      <c r="H89" s="62">
        <f t="shared" si="67"/>
        <v>4</v>
      </c>
      <c r="I89" s="67">
        <f>VLOOKUP($A89,HH_Jobs_CorridorLength!$A$2:$F$116,6,FALSE)</f>
        <v>566.8469538383387</v>
      </c>
      <c r="J89" s="62">
        <f t="shared" si="68"/>
        <v>0</v>
      </c>
      <c r="K89" s="319">
        <f>VLOOKUP(A89,Low_Income_Minority!$A$3:$J$115,8,FALSE)</f>
        <v>1</v>
      </c>
      <c r="L89" s="60">
        <f>IF(Minority&gt;=Minority_Thrshld,Min_Pts,0)</f>
        <v>5</v>
      </c>
      <c r="M89" s="321">
        <f>VLOOKUP(A89,Low_Income_Minority!$A$3:$J$115,10,FALSE)</f>
        <v>0.21337011197981945</v>
      </c>
      <c r="N89" s="61">
        <f t="shared" si="69"/>
        <v>0</v>
      </c>
      <c r="O89" s="57" t="str">
        <f>VLOOKUP(A89,Primary_Connections_To_Centers!$A$3:$K$116,9,FALSE)</f>
        <v>No</v>
      </c>
      <c r="P89" s="60">
        <f t="shared" si="70"/>
        <v>0</v>
      </c>
      <c r="Q89" s="38" t="str">
        <f>VLOOKUP(A89,Primary_Connections_To_Centers!$A$3:$K$116,10,FALSE)</f>
        <v>No</v>
      </c>
      <c r="R89" s="60">
        <f t="shared" si="71"/>
        <v>0</v>
      </c>
      <c r="S89" s="65">
        <f t="shared" si="72"/>
        <v>9</v>
      </c>
      <c r="T89" s="65"/>
      <c r="U89" s="73"/>
      <c r="V89" s="64">
        <f t="shared" si="73"/>
        <v>60</v>
      </c>
      <c r="W89" s="64">
        <f t="shared" si="74"/>
        <v>60</v>
      </c>
      <c r="X89" s="64">
        <f t="shared" si="75"/>
        <v>0</v>
      </c>
      <c r="Y89" s="38">
        <f>VLOOKUP(A89,Step_II_Load_CostRecovery_Sum!$A$5:$T$117,14,FALSE)</f>
        <v>1.25</v>
      </c>
      <c r="Z89" s="167">
        <f>VLOOKUP($A89,Step_II_Load_CostRecovery_Sum!$A$5:$T$117,15,FALSE)</f>
        <v>0.38</v>
      </c>
      <c r="AA89" s="38">
        <f t="shared" si="76"/>
        <v>1</v>
      </c>
      <c r="AB89" s="167">
        <f t="shared" si="77"/>
        <v>0</v>
      </c>
      <c r="AC89" s="288">
        <f>VLOOKUP($A89,Step_II_Load_CostRecovery_Sum!$A$5:$AE$117,29,FALSE)</f>
        <v>0.4390589711417817</v>
      </c>
      <c r="AD89" s="289">
        <f>VLOOKUP($A89,Step_II_Load_CostRecovery_Sum!$A$5:$AE$117,30,FALSE)</f>
        <v>0.2290150564617315</v>
      </c>
      <c r="AE89" s="290">
        <f>VLOOKUP($A89,Step_II_Load_CostRecovery_Sum!$A$5:$AE$117,31,FALSE)</f>
        <v>0.05963613550815559</v>
      </c>
      <c r="AF89" s="38">
        <f t="shared" si="78"/>
        <v>0</v>
      </c>
      <c r="AG89" s="25">
        <f t="shared" si="79"/>
        <v>0</v>
      </c>
      <c r="AH89" s="167">
        <f t="shared" si="80"/>
        <v>0</v>
      </c>
      <c r="AI89" s="38">
        <f t="shared" si="81"/>
        <v>0</v>
      </c>
      <c r="AJ89" s="170">
        <f t="shared" si="82"/>
        <v>0</v>
      </c>
      <c r="AK89" s="25">
        <f t="shared" si="83"/>
        <v>0</v>
      </c>
      <c r="AL89" s="167">
        <f t="shared" si="84"/>
        <v>0</v>
      </c>
      <c r="AN89" s="220">
        <f t="shared" si="85"/>
        <v>1</v>
      </c>
      <c r="AO89" s="26">
        <f t="shared" si="86"/>
        <v>0</v>
      </c>
      <c r="AP89" s="209">
        <f t="shared" si="87"/>
        <v>0</v>
      </c>
      <c r="AQ89" s="38">
        <f t="shared" si="88"/>
        <v>30</v>
      </c>
      <c r="AR89" s="25">
        <f t="shared" si="89"/>
        <v>60</v>
      </c>
      <c r="AS89" s="170">
        <f t="shared" si="90"/>
        <v>0</v>
      </c>
      <c r="AT89" s="253" t="str">
        <f t="shared" si="91"/>
        <v>Local</v>
      </c>
      <c r="AU89" s="251">
        <v>3</v>
      </c>
      <c r="AV89" s="41">
        <v>4</v>
      </c>
      <c r="AW89" s="207">
        <v>4</v>
      </c>
      <c r="AX89" s="175">
        <f t="shared" si="98"/>
        <v>3</v>
      </c>
      <c r="AY89" s="41">
        <f t="shared" si="98"/>
        <v>5</v>
      </c>
      <c r="AZ89" s="207">
        <f t="shared" si="95"/>
        <v>6</v>
      </c>
      <c r="BA89" s="38">
        <f t="shared" si="92"/>
        <v>0</v>
      </c>
      <c r="BB89" s="25">
        <f t="shared" si="93"/>
        <v>1</v>
      </c>
      <c r="BC89" s="167">
        <f t="shared" si="94"/>
        <v>2</v>
      </c>
    </row>
    <row r="90" spans="1:55" ht="12.75">
      <c r="A90" t="s">
        <v>261</v>
      </c>
      <c r="B90" s="79">
        <v>87</v>
      </c>
      <c r="C90" s="5" t="s">
        <v>233</v>
      </c>
      <c r="D90" s="6" t="s">
        <v>119</v>
      </c>
      <c r="E90" s="17" t="s">
        <v>262</v>
      </c>
      <c r="F90" s="8" t="s">
        <v>263</v>
      </c>
      <c r="G90" s="67">
        <f>VLOOKUP($A90,HH_Jobs_CorridorLength!$A$2:$F$116,5,FALSE)</f>
        <v>1201.1964092898772</v>
      </c>
      <c r="H90" s="62">
        <f t="shared" si="67"/>
        <v>4</v>
      </c>
      <c r="I90" s="67">
        <f>VLOOKUP($A90,HH_Jobs_CorridorLength!$A$2:$F$116,6,FALSE)</f>
        <v>4353.03843307273</v>
      </c>
      <c r="J90" s="62">
        <f t="shared" si="68"/>
        <v>0</v>
      </c>
      <c r="K90" s="319">
        <f>VLOOKUP(A90,Low_Income_Minority!$A$3:$J$115,8,FALSE)</f>
        <v>0.13498098856496132</v>
      </c>
      <c r="L90" s="60">
        <f>IF(Minority&gt;=Minority_Thrshld,Min_Pts,0)</f>
        <v>0</v>
      </c>
      <c r="M90" s="321">
        <f>VLOOKUP(A90,Low_Income_Minority!$A$3:$J$115,10,FALSE)</f>
        <v>0</v>
      </c>
      <c r="N90" s="61">
        <f t="shared" si="69"/>
        <v>0</v>
      </c>
      <c r="O90" s="57" t="str">
        <f>VLOOKUP(A90,Primary_Connections_To_Centers!$A$3:$K$116,9,FALSE)</f>
        <v>Yes</v>
      </c>
      <c r="P90" s="60">
        <f t="shared" si="70"/>
        <v>5</v>
      </c>
      <c r="Q90" s="38" t="str">
        <f>VLOOKUP(A90,Primary_Connections_To_Centers!$A$3:$K$116,10,FALSE)</f>
        <v>No</v>
      </c>
      <c r="R90" s="60">
        <f t="shared" si="71"/>
        <v>0</v>
      </c>
      <c r="S90" s="65">
        <f t="shared" si="72"/>
        <v>9</v>
      </c>
      <c r="T90" s="65"/>
      <c r="U90" s="73"/>
      <c r="V90" s="64">
        <f t="shared" si="73"/>
        <v>60</v>
      </c>
      <c r="W90" s="64">
        <f t="shared" si="74"/>
        <v>60</v>
      </c>
      <c r="X90" s="64">
        <f t="shared" si="75"/>
        <v>0</v>
      </c>
      <c r="Y90" s="38">
        <f>VLOOKUP(A90,Step_II_Load_CostRecovery_Sum!$A$5:$T$117,14,FALSE)</f>
        <v>0.44</v>
      </c>
      <c r="Z90" s="167">
        <f>VLOOKUP($A90,Step_II_Load_CostRecovery_Sum!$A$5:$T$117,15,FALSE)</f>
        <v>0.39</v>
      </c>
      <c r="AA90" s="38">
        <f t="shared" si="76"/>
        <v>0</v>
      </c>
      <c r="AB90" s="167">
        <f t="shared" si="77"/>
        <v>0</v>
      </c>
      <c r="AC90" s="288">
        <f>VLOOKUP($A90,Step_II_Load_CostRecovery_Sum!$A$5:$AE$117,29,FALSE)</f>
        <v>0.21632371392722713</v>
      </c>
      <c r="AD90" s="289">
        <f>VLOOKUP($A90,Step_II_Load_CostRecovery_Sum!$A$5:$AE$117,30,FALSE)</f>
        <v>0.4135335633626098</v>
      </c>
      <c r="AE90" s="290">
        <f>VLOOKUP($A90,Step_II_Load_CostRecovery_Sum!$A$5:$AE$117,31,FALSE)</f>
        <v>0.10997333751568382</v>
      </c>
      <c r="AF90" s="38">
        <f t="shared" si="78"/>
        <v>0</v>
      </c>
      <c r="AG90" s="25">
        <f t="shared" si="79"/>
        <v>0</v>
      </c>
      <c r="AH90" s="167">
        <f t="shared" si="80"/>
        <v>0</v>
      </c>
      <c r="AI90" s="38">
        <f t="shared" si="81"/>
        <v>0</v>
      </c>
      <c r="AJ90" s="170">
        <f t="shared" si="82"/>
        <v>60</v>
      </c>
      <c r="AK90" s="25">
        <f t="shared" si="83"/>
        <v>0</v>
      </c>
      <c r="AL90" s="167">
        <f t="shared" si="84"/>
        <v>60</v>
      </c>
      <c r="AN90" s="220">
        <f t="shared" si="85"/>
        <v>0</v>
      </c>
      <c r="AO90" s="26">
        <f t="shared" si="86"/>
        <v>0</v>
      </c>
      <c r="AP90" s="209">
        <f t="shared" si="87"/>
        <v>0</v>
      </c>
      <c r="AQ90" s="38">
        <f t="shared" si="88"/>
        <v>60</v>
      </c>
      <c r="AR90" s="25">
        <f t="shared" si="89"/>
        <v>60</v>
      </c>
      <c r="AS90" s="170">
        <f t="shared" si="90"/>
        <v>60</v>
      </c>
      <c r="AT90" s="253" t="str">
        <f t="shared" si="91"/>
        <v>Hourly</v>
      </c>
      <c r="AU90" s="251">
        <v>3</v>
      </c>
      <c r="AV90" s="41">
        <v>3</v>
      </c>
      <c r="AW90" s="207">
        <v>5</v>
      </c>
      <c r="AX90" s="175">
        <f aca="true" t="shared" si="99" ref="AX90:AY94">IF(AQ90="Better than 15 min",1,IF(AQ90=15,2,IF(AQ90=30,3,IF(AQ90=60,5,0))))</f>
        <v>5</v>
      </c>
      <c r="AY90" s="41">
        <f t="shared" si="99"/>
        <v>5</v>
      </c>
      <c r="AZ90" s="207">
        <f t="shared" si="95"/>
        <v>5</v>
      </c>
      <c r="BA90" s="38">
        <f t="shared" si="92"/>
        <v>2</v>
      </c>
      <c r="BB90" s="25">
        <f t="shared" si="93"/>
        <v>2</v>
      </c>
      <c r="BC90" s="167">
        <f t="shared" si="94"/>
        <v>0</v>
      </c>
    </row>
    <row r="91" spans="1:55" ht="12.75">
      <c r="A91" s="14" t="s">
        <v>188</v>
      </c>
      <c r="B91" s="79">
        <v>88</v>
      </c>
      <c r="C91" s="5" t="s">
        <v>189</v>
      </c>
      <c r="D91" s="6" t="s">
        <v>21</v>
      </c>
      <c r="E91" s="17" t="s">
        <v>190</v>
      </c>
      <c r="F91" s="8" t="s">
        <v>191</v>
      </c>
      <c r="G91" s="67">
        <f>VLOOKUP($A91,HH_Jobs_CorridorLength!$A$2:$F$116,5,FALSE)</f>
        <v>1119.207089922174</v>
      </c>
      <c r="H91" s="62">
        <f t="shared" si="67"/>
        <v>4</v>
      </c>
      <c r="I91" s="67">
        <f>VLOOKUP($A91,HH_Jobs_CorridorLength!$A$2:$F$116,6,FALSE)</f>
        <v>3176.095637827379</v>
      </c>
      <c r="J91" s="62">
        <f t="shared" si="68"/>
        <v>0</v>
      </c>
      <c r="K91" s="319">
        <f>VLOOKUP(A91,Low_Income_Minority!$A$3:$J$115,8,FALSE)</f>
        <v>0.2904790171887122</v>
      </c>
      <c r="L91" s="60">
        <f>IF(Minority&gt;=Minority_Thrshld,Min_Pts,0)</f>
        <v>0</v>
      </c>
      <c r="M91" s="321">
        <f>VLOOKUP(A91,Low_Income_Minority!$A$3:$J$115,10,FALSE)</f>
        <v>0.5863519394327842</v>
      </c>
      <c r="N91" s="61">
        <f t="shared" si="69"/>
        <v>5</v>
      </c>
      <c r="O91" s="57" t="str">
        <f>VLOOKUP(A91,Primary_Connections_To_Centers!$A$3:$K$116,9,FALSE)</f>
        <v>No</v>
      </c>
      <c r="P91" s="60">
        <f t="shared" si="70"/>
        <v>0</v>
      </c>
      <c r="Q91" s="38" t="str">
        <f>VLOOKUP(A91,Primary_Connections_To_Centers!$A$3:$K$116,10,FALSE)</f>
        <v>No</v>
      </c>
      <c r="R91" s="60">
        <f t="shared" si="71"/>
        <v>0</v>
      </c>
      <c r="S91" s="65">
        <f t="shared" si="72"/>
        <v>9</v>
      </c>
      <c r="T91" s="65"/>
      <c r="U91" s="73"/>
      <c r="V91" s="64">
        <f t="shared" si="73"/>
        <v>60</v>
      </c>
      <c r="W91" s="64">
        <f t="shared" si="74"/>
        <v>60</v>
      </c>
      <c r="X91" s="64">
        <f t="shared" si="75"/>
        <v>0</v>
      </c>
      <c r="Y91" s="38">
        <f>VLOOKUP(A91,Step_II_Load_CostRecovery_Sum!$A$5:$T$117,14,FALSE)</f>
        <v>7.06</v>
      </c>
      <c r="Z91" s="167">
        <f>VLOOKUP($A91,Step_II_Load_CostRecovery_Sum!$A$5:$T$117,15,FALSE)</f>
        <v>0.56</v>
      </c>
      <c r="AA91" s="38">
        <f t="shared" si="76"/>
        <v>2</v>
      </c>
      <c r="AB91" s="167">
        <f t="shared" si="77"/>
        <v>0</v>
      </c>
      <c r="AC91" s="288">
        <f>VLOOKUP($A91,Step_II_Load_CostRecovery_Sum!$A$5:$AE$117,29,FALSE)</f>
        <v>0.3139899623588457</v>
      </c>
      <c r="AD91" s="289">
        <f>VLOOKUP($A91,Step_II_Load_CostRecovery_Sum!$A$5:$AE$117,30,FALSE)</f>
        <v>0.5474074654956086</v>
      </c>
      <c r="AE91" s="290">
        <f>VLOOKUP($A91,Step_II_Load_CostRecovery_Sum!$A$5:$AE$117,31,FALSE)</f>
        <v>0.14148212045169384</v>
      </c>
      <c r="AF91" s="38">
        <f t="shared" si="78"/>
        <v>0</v>
      </c>
      <c r="AG91" s="25">
        <f t="shared" si="79"/>
        <v>1</v>
      </c>
      <c r="AH91" s="167">
        <f t="shared" si="80"/>
        <v>0</v>
      </c>
      <c r="AI91" s="38">
        <f t="shared" si="81"/>
        <v>0</v>
      </c>
      <c r="AJ91" s="170">
        <f t="shared" si="82"/>
        <v>60</v>
      </c>
      <c r="AK91" s="25">
        <f t="shared" si="83"/>
        <v>30</v>
      </c>
      <c r="AL91" s="167">
        <f t="shared" si="84"/>
        <v>30</v>
      </c>
      <c r="AN91" s="220">
        <f t="shared" si="85"/>
        <v>2</v>
      </c>
      <c r="AO91" s="26">
        <f t="shared" si="86"/>
        <v>1</v>
      </c>
      <c r="AP91" s="209">
        <f t="shared" si="87"/>
        <v>0</v>
      </c>
      <c r="AQ91" s="38">
        <f t="shared" si="88"/>
        <v>15</v>
      </c>
      <c r="AR91" s="25">
        <f t="shared" si="89"/>
        <v>30</v>
      </c>
      <c r="AS91" s="170">
        <f t="shared" si="90"/>
        <v>30</v>
      </c>
      <c r="AT91" s="253" t="str">
        <f t="shared" si="91"/>
        <v>Frequent</v>
      </c>
      <c r="AU91" s="251">
        <v>2</v>
      </c>
      <c r="AV91" s="41">
        <v>3</v>
      </c>
      <c r="AW91" s="207">
        <v>5</v>
      </c>
      <c r="AX91" s="175">
        <f t="shared" si="99"/>
        <v>2</v>
      </c>
      <c r="AY91" s="41">
        <f t="shared" si="99"/>
        <v>3</v>
      </c>
      <c r="AZ91" s="207">
        <f t="shared" si="95"/>
        <v>3</v>
      </c>
      <c r="BA91" s="38">
        <f t="shared" si="92"/>
        <v>0</v>
      </c>
      <c r="BB91" s="25">
        <f t="shared" si="93"/>
        <v>0</v>
      </c>
      <c r="BC91" s="167">
        <f t="shared" si="94"/>
        <v>-2</v>
      </c>
    </row>
    <row r="92" spans="1:55" ht="12.75">
      <c r="A92" t="s">
        <v>150</v>
      </c>
      <c r="B92" s="79">
        <v>89</v>
      </c>
      <c r="C92" s="5" t="s">
        <v>151</v>
      </c>
      <c r="D92" s="6" t="s">
        <v>4</v>
      </c>
      <c r="E92" s="17" t="s">
        <v>152</v>
      </c>
      <c r="F92" s="7">
        <v>56</v>
      </c>
      <c r="G92" s="67">
        <f>VLOOKUP($A92,HH_Jobs_CorridorLength!$A$2:$F$116,5,FALSE)</f>
        <v>1529.8305084745764</v>
      </c>
      <c r="H92" s="62">
        <f t="shared" si="67"/>
        <v>4</v>
      </c>
      <c r="I92" s="67">
        <f>VLOOKUP($A92,HH_Jobs_CorridorLength!$A$2:$F$116,6,FALSE)</f>
        <v>9764.180790960452</v>
      </c>
      <c r="J92" s="62">
        <f t="shared" si="68"/>
        <v>4</v>
      </c>
      <c r="K92" s="319">
        <f>VLOOKUP(A92,Low_Income_Minority!$A$3:$J$115,8,FALSE)</f>
        <v>0.3982783380723218</v>
      </c>
      <c r="L92" s="60">
        <f>IF(Minority&gt;=Minority_Thrshld,Min_Pts,0)</f>
        <v>0</v>
      </c>
      <c r="M92" s="321">
        <f>VLOOKUP(A92,Low_Income_Minority!$A$3:$J$115,10,FALSE)</f>
        <v>0.47862267117362634</v>
      </c>
      <c r="N92" s="61">
        <f t="shared" si="69"/>
        <v>0</v>
      </c>
      <c r="O92" s="57" t="str">
        <f>VLOOKUP(A92,Primary_Connections_To_Centers!$A$3:$K$116,9,FALSE)</f>
        <v>No</v>
      </c>
      <c r="P92" s="60">
        <f t="shared" si="70"/>
        <v>0</v>
      </c>
      <c r="Q92" s="38" t="str">
        <f>VLOOKUP(A92,Primary_Connections_To_Centers!$A$3:$K$116,10,FALSE)</f>
        <v>No</v>
      </c>
      <c r="R92" s="60">
        <f t="shared" si="71"/>
        <v>0</v>
      </c>
      <c r="S92" s="65">
        <f t="shared" si="72"/>
        <v>8</v>
      </c>
      <c r="T92" s="65"/>
      <c r="U92" s="73"/>
      <c r="V92" s="64">
        <f t="shared" si="73"/>
        <v>60</v>
      </c>
      <c r="W92" s="64">
        <f t="shared" si="74"/>
        <v>60</v>
      </c>
      <c r="X92" s="64">
        <f t="shared" si="75"/>
        <v>0</v>
      </c>
      <c r="Y92" s="38">
        <f>VLOOKUP(A92,Step_II_Load_CostRecovery_Sum!$A$5:$T$117,14,FALSE)</f>
        <v>0.46</v>
      </c>
      <c r="Z92" s="167">
        <f>VLOOKUP($A92,Step_II_Load_CostRecovery_Sum!$A$5:$T$117,15,FALSE)</f>
        <v>0.32</v>
      </c>
      <c r="AA92" s="38">
        <f t="shared" si="76"/>
        <v>0</v>
      </c>
      <c r="AB92" s="167">
        <f t="shared" si="77"/>
        <v>0</v>
      </c>
      <c r="AC92" s="288">
        <f>VLOOKUP($A92,Step_II_Load_CostRecovery_Sum!$A$5:$AE$117,29,FALSE)</f>
        <v>0.5818695106649938</v>
      </c>
      <c r="AD92" s="289">
        <f>VLOOKUP($A92,Step_II_Load_CostRecovery_Sum!$A$5:$AE$117,30,FALSE)</f>
        <v>0.45664680050188206</v>
      </c>
      <c r="AE92" s="290">
        <f>VLOOKUP($A92,Step_II_Load_CostRecovery_Sum!$A$5:$AE$117,31,FALSE)</f>
        <v>0.11005018820577164</v>
      </c>
      <c r="AF92" s="38">
        <f t="shared" si="78"/>
        <v>1</v>
      </c>
      <c r="AG92" s="25">
        <f t="shared" si="79"/>
        <v>0</v>
      </c>
      <c r="AH92" s="167">
        <f t="shared" si="80"/>
        <v>0</v>
      </c>
      <c r="AI92" s="38">
        <f t="shared" si="81"/>
        <v>0</v>
      </c>
      <c r="AJ92" s="170">
        <f t="shared" si="82"/>
        <v>60</v>
      </c>
      <c r="AK92" s="25">
        <f t="shared" si="83"/>
        <v>0</v>
      </c>
      <c r="AL92" s="167">
        <f t="shared" si="84"/>
        <v>60</v>
      </c>
      <c r="AN92" s="220">
        <f t="shared" si="85"/>
        <v>1</v>
      </c>
      <c r="AO92" s="26">
        <f t="shared" si="86"/>
        <v>0</v>
      </c>
      <c r="AP92" s="209">
        <f t="shared" si="87"/>
        <v>0</v>
      </c>
      <c r="AQ92" s="38">
        <f t="shared" si="88"/>
        <v>30</v>
      </c>
      <c r="AR92" s="25">
        <f t="shared" si="89"/>
        <v>60</v>
      </c>
      <c r="AS92" s="170">
        <f t="shared" si="90"/>
        <v>60</v>
      </c>
      <c r="AT92" s="253" t="str">
        <f t="shared" si="91"/>
        <v>Local</v>
      </c>
      <c r="AU92" s="251">
        <v>3</v>
      </c>
      <c r="AV92" s="41">
        <v>3</v>
      </c>
      <c r="AW92" s="207">
        <v>5</v>
      </c>
      <c r="AX92" s="175">
        <f t="shared" si="99"/>
        <v>3</v>
      </c>
      <c r="AY92" s="41">
        <f t="shared" si="99"/>
        <v>5</v>
      </c>
      <c r="AZ92" s="207">
        <f t="shared" si="95"/>
        <v>5</v>
      </c>
      <c r="BA92" s="38">
        <f t="shared" si="92"/>
        <v>0</v>
      </c>
      <c r="BB92" s="25">
        <f t="shared" si="93"/>
        <v>2</v>
      </c>
      <c r="BC92" s="167">
        <f t="shared" si="94"/>
        <v>0</v>
      </c>
    </row>
    <row r="93" spans="1:55" ht="12.75">
      <c r="A93" t="s">
        <v>207</v>
      </c>
      <c r="B93" s="79">
        <v>90</v>
      </c>
      <c r="C93" s="5" t="s">
        <v>3</v>
      </c>
      <c r="D93" s="6" t="s">
        <v>4</v>
      </c>
      <c r="E93" s="17" t="s">
        <v>208</v>
      </c>
      <c r="F93" s="7">
        <v>17</v>
      </c>
      <c r="G93" s="67">
        <f>VLOOKUP($A93,HH_Jobs_CorridorLength!$A$2:$F$116,5,FALSE)</f>
        <v>1824.6615087040618</v>
      </c>
      <c r="H93" s="62">
        <f t="shared" si="67"/>
        <v>4</v>
      </c>
      <c r="I93" s="67">
        <f>VLOOKUP($A93,HH_Jobs_CorridorLength!$A$2:$F$116,6,FALSE)</f>
        <v>11112.862669245647</v>
      </c>
      <c r="J93" s="62">
        <f t="shared" si="68"/>
        <v>4</v>
      </c>
      <c r="K93" s="319">
        <f>VLOOKUP(A93,Low_Income_Minority!$A$3:$J$115,8,FALSE)</f>
        <v>0</v>
      </c>
      <c r="L93" s="60">
        <f>IF(Minority&gt;=Minority_Thrshld,Min_Pts,0)</f>
        <v>0</v>
      </c>
      <c r="M93" s="321">
        <f>VLOOKUP(A93,Low_Income_Minority!$A$3:$J$115,10,FALSE)</f>
        <v>0.1502169200552593</v>
      </c>
      <c r="N93" s="61">
        <f t="shared" si="69"/>
        <v>0</v>
      </c>
      <c r="O93" s="57" t="str">
        <f>VLOOKUP(A93,Primary_Connections_To_Centers!$A$3:$K$116,9,FALSE)</f>
        <v>No</v>
      </c>
      <c r="P93" s="60">
        <f t="shared" si="70"/>
        <v>0</v>
      </c>
      <c r="Q93" s="38" t="str">
        <f>VLOOKUP(A93,Primary_Connections_To_Centers!$A$3:$K$116,10,FALSE)</f>
        <v>No</v>
      </c>
      <c r="R93" s="60">
        <f t="shared" si="71"/>
        <v>0</v>
      </c>
      <c r="S93" s="65">
        <f t="shared" si="72"/>
        <v>8</v>
      </c>
      <c r="T93" s="65"/>
      <c r="U93" s="73"/>
      <c r="V93" s="64">
        <f t="shared" si="73"/>
        <v>60</v>
      </c>
      <c r="W93" s="64">
        <f t="shared" si="74"/>
        <v>60</v>
      </c>
      <c r="X93" s="64">
        <f t="shared" si="75"/>
        <v>0</v>
      </c>
      <c r="Y93" s="38">
        <f>VLOOKUP(A93,Step_II_Load_CostRecovery_Sum!$A$5:$T$117,14,FALSE)</f>
        <v>5.42</v>
      </c>
      <c r="Z93" s="167">
        <f>VLOOKUP($A93,Step_II_Load_CostRecovery_Sum!$A$5:$T$117,15,FALSE)</f>
        <v>0.96</v>
      </c>
      <c r="AA93" s="38">
        <f t="shared" si="76"/>
        <v>2</v>
      </c>
      <c r="AB93" s="167">
        <f t="shared" si="77"/>
        <v>1</v>
      </c>
      <c r="AC93" s="288">
        <f>VLOOKUP($A93,Step_II_Load_CostRecovery_Sum!$A$5:$AE$117,29,FALSE)</f>
        <v>0.8912045169385195</v>
      </c>
      <c r="AD93" s="289">
        <f>VLOOKUP($A93,Step_II_Load_CostRecovery_Sum!$A$5:$AE$117,30,FALSE)</f>
        <v>0.49230552070263495</v>
      </c>
      <c r="AE93" s="290">
        <f>VLOOKUP($A93,Step_II_Load_CostRecovery_Sum!$A$5:$AE$117,31,FALSE)</f>
        <v>0.10651505646173148</v>
      </c>
      <c r="AF93" s="38">
        <f t="shared" si="78"/>
        <v>1</v>
      </c>
      <c r="AG93" s="25">
        <f t="shared" si="79"/>
        <v>0</v>
      </c>
      <c r="AH93" s="167">
        <f t="shared" si="80"/>
        <v>0</v>
      </c>
      <c r="AI93" s="38">
        <f t="shared" si="81"/>
        <v>0</v>
      </c>
      <c r="AJ93" s="170">
        <f t="shared" si="82"/>
        <v>60</v>
      </c>
      <c r="AK93" s="25">
        <f t="shared" si="83"/>
        <v>30</v>
      </c>
      <c r="AL93" s="167">
        <f t="shared" si="84"/>
        <v>30</v>
      </c>
      <c r="AN93" s="220">
        <f t="shared" si="85"/>
        <v>2</v>
      </c>
      <c r="AO93" s="26">
        <f t="shared" si="86"/>
        <v>1</v>
      </c>
      <c r="AP93" s="209">
        <f t="shared" si="87"/>
        <v>0</v>
      </c>
      <c r="AQ93" s="38">
        <f t="shared" si="88"/>
        <v>15</v>
      </c>
      <c r="AR93" s="25">
        <f t="shared" si="89"/>
        <v>30</v>
      </c>
      <c r="AS93" s="170">
        <f t="shared" si="90"/>
        <v>30</v>
      </c>
      <c r="AT93" s="253" t="str">
        <f t="shared" si="91"/>
        <v>Frequent</v>
      </c>
      <c r="AU93" s="251">
        <v>3</v>
      </c>
      <c r="AV93" s="41">
        <v>3</v>
      </c>
      <c r="AW93" s="207">
        <v>4</v>
      </c>
      <c r="AX93" s="175">
        <f t="shared" si="99"/>
        <v>2</v>
      </c>
      <c r="AY93" s="41">
        <f t="shared" si="99"/>
        <v>3</v>
      </c>
      <c r="AZ93" s="207">
        <f t="shared" si="95"/>
        <v>3</v>
      </c>
      <c r="BA93" s="38">
        <f t="shared" si="92"/>
        <v>-1</v>
      </c>
      <c r="BB93" s="25">
        <f t="shared" si="93"/>
        <v>0</v>
      </c>
      <c r="BC93" s="167">
        <f t="shared" si="94"/>
        <v>-1</v>
      </c>
    </row>
    <row r="94" spans="1:55" ht="12.75">
      <c r="A94" t="s">
        <v>209</v>
      </c>
      <c r="B94" s="79">
        <v>91</v>
      </c>
      <c r="C94" s="5" t="s">
        <v>210</v>
      </c>
      <c r="D94" s="6" t="s">
        <v>119</v>
      </c>
      <c r="E94" s="17" t="s">
        <v>211</v>
      </c>
      <c r="F94" s="7">
        <v>233</v>
      </c>
      <c r="G94" s="67">
        <f>VLOOKUP($A94,HH_Jobs_CorridorLength!$A$2:$F$116,5,FALSE)</f>
        <v>1017.8236397748593</v>
      </c>
      <c r="H94" s="62">
        <f t="shared" si="67"/>
        <v>0</v>
      </c>
      <c r="I94" s="67">
        <f>VLOOKUP($A94,HH_Jobs_CorridorLength!$A$2:$F$116,6,FALSE)</f>
        <v>11812.382739212007</v>
      </c>
      <c r="J94" s="62">
        <f t="shared" si="68"/>
        <v>7</v>
      </c>
      <c r="K94" s="319">
        <f>VLOOKUP(A94,Low_Income_Minority!$A$3:$J$115,8,FALSE)</f>
        <v>0.42758803445682936</v>
      </c>
      <c r="L94" s="60">
        <f>IF(Minority&gt;=Minority_Thrshld,Min_Pts,0)</f>
        <v>0</v>
      </c>
      <c r="M94" s="321">
        <f>VLOOKUP(A94,Low_Income_Minority!$A$3:$J$115,10,FALSE)</f>
        <v>0</v>
      </c>
      <c r="N94" s="61">
        <f t="shared" si="69"/>
        <v>0</v>
      </c>
      <c r="O94" s="57" t="str">
        <f>VLOOKUP(A94,Primary_Connections_To_Centers!$A$3:$K$116,9,FALSE)</f>
        <v>No</v>
      </c>
      <c r="P94" s="60">
        <f t="shared" si="70"/>
        <v>0</v>
      </c>
      <c r="Q94" s="38" t="str">
        <f>VLOOKUP(A94,Primary_Connections_To_Centers!$A$3:$K$116,10,FALSE)</f>
        <v>No</v>
      </c>
      <c r="R94" s="60">
        <f t="shared" si="71"/>
        <v>0</v>
      </c>
      <c r="S94" s="65">
        <f t="shared" si="72"/>
        <v>7</v>
      </c>
      <c r="T94" s="65"/>
      <c r="U94" s="73"/>
      <c r="V94" s="64">
        <f t="shared" si="73"/>
        <v>60</v>
      </c>
      <c r="W94" s="64">
        <f t="shared" si="74"/>
        <v>60</v>
      </c>
      <c r="X94" s="64">
        <f t="shared" si="75"/>
        <v>0</v>
      </c>
      <c r="Y94" s="38">
        <f>VLOOKUP(A94,Step_II_Load_CostRecovery_Sum!$A$5:$T$117,14,FALSE)</f>
        <v>0.79</v>
      </c>
      <c r="Z94" s="167">
        <f>VLOOKUP($A94,Step_II_Load_CostRecovery_Sum!$A$5:$T$117,15,FALSE)</f>
        <v>0.36</v>
      </c>
      <c r="AA94" s="38">
        <f t="shared" si="76"/>
        <v>0</v>
      </c>
      <c r="AB94" s="167">
        <f t="shared" si="77"/>
        <v>0</v>
      </c>
      <c r="AC94" s="288">
        <f>VLOOKUP($A94,Step_II_Load_CostRecovery_Sum!$A$5:$AE$117,29,FALSE)</f>
        <v>0.33621079046424096</v>
      </c>
      <c r="AD94" s="289">
        <f>VLOOKUP($A94,Step_II_Load_CostRecovery_Sum!$A$5:$AE$117,30,FALSE)</f>
        <v>0.22086888331242158</v>
      </c>
      <c r="AE94" s="290" t="str">
        <f>VLOOKUP($A94,Step_II_Load_CostRecovery_Sum!$A$5:$AE$117,31,FALSE)</f>
        <v>N/A</v>
      </c>
      <c r="AF94" s="38">
        <f t="shared" si="78"/>
        <v>0</v>
      </c>
      <c r="AG94" s="25">
        <f t="shared" si="79"/>
        <v>0</v>
      </c>
      <c r="AH94" s="167" t="str">
        <f t="shared" si="80"/>
        <v>N/A</v>
      </c>
      <c r="AI94" s="38">
        <f t="shared" si="81"/>
        <v>0</v>
      </c>
      <c r="AJ94" s="170" t="str">
        <f t="shared" si="82"/>
        <v>N/A</v>
      </c>
      <c r="AK94" s="25">
        <f t="shared" si="83"/>
        <v>0</v>
      </c>
      <c r="AL94" s="167">
        <f t="shared" si="84"/>
        <v>0</v>
      </c>
      <c r="AN94" s="220">
        <f t="shared" si="85"/>
        <v>0</v>
      </c>
      <c r="AO94" s="26">
        <f t="shared" si="86"/>
        <v>0</v>
      </c>
      <c r="AP94" s="209">
        <f t="shared" si="87"/>
        <v>0</v>
      </c>
      <c r="AQ94" s="38">
        <f t="shared" si="88"/>
        <v>60</v>
      </c>
      <c r="AR94" s="25">
        <f t="shared" si="89"/>
        <v>60</v>
      </c>
      <c r="AS94" s="170">
        <f t="shared" si="90"/>
        <v>0</v>
      </c>
      <c r="AT94" s="253" t="str">
        <f t="shared" si="91"/>
        <v>Hourly</v>
      </c>
      <c r="AU94" s="251">
        <v>3</v>
      </c>
      <c r="AV94" s="41">
        <v>3</v>
      </c>
      <c r="AW94" s="207">
        <v>6</v>
      </c>
      <c r="AX94" s="175">
        <f t="shared" si="99"/>
        <v>5</v>
      </c>
      <c r="AY94" s="41">
        <f t="shared" si="99"/>
        <v>5</v>
      </c>
      <c r="AZ94" s="207">
        <f t="shared" si="95"/>
        <v>6</v>
      </c>
      <c r="BA94" s="38">
        <f t="shared" si="92"/>
        <v>2</v>
      </c>
      <c r="BB94" s="25">
        <f t="shared" si="93"/>
        <v>2</v>
      </c>
      <c r="BC94" s="167">
        <f t="shared" si="94"/>
        <v>0</v>
      </c>
    </row>
    <row r="95" spans="1:55" ht="12.75">
      <c r="A95" t="s">
        <v>317</v>
      </c>
      <c r="B95" s="79">
        <v>92</v>
      </c>
      <c r="C95" s="5" t="s">
        <v>318</v>
      </c>
      <c r="D95" s="6" t="s">
        <v>319</v>
      </c>
      <c r="E95" s="17" t="s">
        <v>325</v>
      </c>
      <c r="F95" s="6">
        <v>118</v>
      </c>
      <c r="G95" s="67">
        <f>VLOOKUP($A95,HH_Jobs_CorridorLength!$A$2:$F$116,5,FALSE)</f>
        <v>33.364582502005355</v>
      </c>
      <c r="H95" s="10">
        <f t="shared" si="67"/>
        <v>0</v>
      </c>
      <c r="I95" s="67">
        <f>VLOOKUP($A95,HH_Jobs_CorridorLength!$A$2:$F$116,6,FALSE)</f>
        <v>64.09511901701029</v>
      </c>
      <c r="J95" s="10">
        <f t="shared" si="68"/>
        <v>0</v>
      </c>
      <c r="K95" s="319">
        <f>VLOOKUP(A95,Low_Income_Minority!$A$3:$J$115,8,FALSE)</f>
        <v>0</v>
      </c>
      <c r="L95" s="60">
        <f>IF(Minority&gt;=Minority_Thrshld,Min_Pts,0)</f>
        <v>0</v>
      </c>
      <c r="M95" s="321">
        <f>VLOOKUP(A95,Low_Income_Minority!$A$3:$J$115,10,FALSE)</f>
        <v>0.7786885289101392</v>
      </c>
      <c r="N95" s="61">
        <f t="shared" si="69"/>
        <v>5</v>
      </c>
      <c r="O95" s="57" t="str">
        <f>VLOOKUP(A95,Primary_Connections_To_Centers!$A$3:$K$116,9,FALSE)</f>
        <v>No</v>
      </c>
      <c r="P95" s="60">
        <f t="shared" si="70"/>
        <v>0</v>
      </c>
      <c r="Q95" s="38" t="str">
        <f>VLOOKUP(A95,Primary_Connections_To_Centers!$A$3:$K$116,10,FALSE)</f>
        <v>No</v>
      </c>
      <c r="R95" s="60">
        <f t="shared" si="71"/>
        <v>0</v>
      </c>
      <c r="S95" s="65">
        <f t="shared" si="72"/>
        <v>5</v>
      </c>
      <c r="T95" s="65"/>
      <c r="U95" s="73"/>
      <c r="V95" s="64">
        <f t="shared" si="73"/>
        <v>60</v>
      </c>
      <c r="W95" s="64">
        <f t="shared" si="74"/>
        <v>60</v>
      </c>
      <c r="X95" s="64">
        <f t="shared" si="75"/>
        <v>0</v>
      </c>
      <c r="Y95" s="38">
        <f>VLOOKUP(A95,Step_II_Load_CostRecovery_Sum!$A$5:$T$117,14,FALSE)</f>
        <v>0.43</v>
      </c>
      <c r="Z95" s="167">
        <f>VLOOKUP($A95,Step_II_Load_CostRecovery_Sum!$A$5:$T$117,15,FALSE)</f>
        <v>0.12</v>
      </c>
      <c r="AA95" s="38">
        <f t="shared" si="76"/>
        <v>0</v>
      </c>
      <c r="AB95" s="167">
        <f t="shared" si="77"/>
        <v>0</v>
      </c>
      <c r="AC95" s="288">
        <f>VLOOKUP($A95,Step_II_Load_CostRecovery_Sum!$A$5:$AE$117,29,FALSE)</f>
        <v>0.19041405269761608</v>
      </c>
      <c r="AD95" s="289" t="str">
        <f>VLOOKUP($A95,Step_II_Load_CostRecovery_Sum!$A$5:$AE$117,30,FALSE)</f>
        <v>N/A</v>
      </c>
      <c r="AE95" s="290" t="str">
        <f>VLOOKUP($A95,Step_II_Load_CostRecovery_Sum!$A$5:$AE$117,31,FALSE)</f>
        <v>N/A</v>
      </c>
      <c r="AF95" s="38">
        <f t="shared" si="78"/>
        <v>0</v>
      </c>
      <c r="AG95" s="25" t="str">
        <f t="shared" si="79"/>
        <v>N/A</v>
      </c>
      <c r="AH95" s="167" t="str">
        <f t="shared" si="80"/>
        <v>N/A</v>
      </c>
      <c r="AI95" s="38">
        <f t="shared" si="81"/>
        <v>0</v>
      </c>
      <c r="AJ95" s="170" t="str">
        <f t="shared" si="82"/>
        <v>N/A</v>
      </c>
      <c r="AK95" s="25">
        <f t="shared" si="83"/>
        <v>0</v>
      </c>
      <c r="AL95" s="167">
        <f t="shared" si="84"/>
        <v>0</v>
      </c>
      <c r="AN95" s="220">
        <f t="shared" si="85"/>
        <v>0</v>
      </c>
      <c r="AO95" s="26">
        <f t="shared" si="86"/>
        <v>0</v>
      </c>
      <c r="AP95" s="209">
        <f t="shared" si="87"/>
        <v>0</v>
      </c>
      <c r="AQ95" s="38">
        <f t="shared" si="88"/>
        <v>60</v>
      </c>
      <c r="AR95" s="25">
        <f t="shared" si="89"/>
        <v>60</v>
      </c>
      <c r="AS95" s="170">
        <f t="shared" si="90"/>
        <v>0</v>
      </c>
      <c r="AT95" s="253" t="str">
        <f t="shared" si="91"/>
        <v>Hourly</v>
      </c>
      <c r="AU95" s="251">
        <v>5</v>
      </c>
      <c r="AV95" s="41">
        <v>5</v>
      </c>
      <c r="AW95" s="207">
        <v>6</v>
      </c>
      <c r="AX95" s="175">
        <f aca="true" t="shared" si="100" ref="AX95:AX105">IF(AQ95="Better than 15 min",1,IF(AQ95=15,2,IF(AQ95=30,3,IF(AQ95=60,5,6))))</f>
        <v>5</v>
      </c>
      <c r="AY95" s="41">
        <f aca="true" t="shared" si="101" ref="AY95:AY105">IF(AR95="Better than 15 min",1,IF(AR95=15,2,IF(AR95=30,3,IF(AR95=60,5,6))))</f>
        <v>5</v>
      </c>
      <c r="AZ95" s="207">
        <f t="shared" si="95"/>
        <v>6</v>
      </c>
      <c r="BA95" s="38">
        <f t="shared" si="92"/>
        <v>0</v>
      </c>
      <c r="BB95" s="25">
        <f t="shared" si="93"/>
        <v>0</v>
      </c>
      <c r="BC95" s="167">
        <f t="shared" si="94"/>
        <v>0</v>
      </c>
    </row>
    <row r="96" spans="1:55" ht="12.75">
      <c r="A96" t="s">
        <v>259</v>
      </c>
      <c r="B96" s="79">
        <v>93</v>
      </c>
      <c r="C96" s="5" t="s">
        <v>225</v>
      </c>
      <c r="D96" s="6" t="s">
        <v>21</v>
      </c>
      <c r="E96" s="17" t="s">
        <v>260</v>
      </c>
      <c r="F96" s="6">
        <v>373</v>
      </c>
      <c r="G96" s="67">
        <f>VLOOKUP($A96,HH_Jobs_CorridorLength!$A$2:$F$116,5,FALSE)</f>
        <v>1022.7264529819166</v>
      </c>
      <c r="H96" s="62">
        <f t="shared" si="67"/>
        <v>0</v>
      </c>
      <c r="I96" s="67">
        <f>VLOOKUP($A96,HH_Jobs_CorridorLength!$A$2:$F$116,6,FALSE)</f>
        <v>2520.559896810691</v>
      </c>
      <c r="J96" s="62">
        <f t="shared" si="68"/>
        <v>0</v>
      </c>
      <c r="K96" s="319">
        <f>VLOOKUP(A96,Low_Income_Minority!$A$3:$J$115,8,FALSE)</f>
        <v>0.9178580088593492</v>
      </c>
      <c r="L96" s="60">
        <f>IF(Minority&gt;=Minority_Thrshld,Min_Pts,0)</f>
        <v>5</v>
      </c>
      <c r="M96" s="321">
        <f>VLOOKUP(A96,Low_Income_Minority!$A$3:$J$115,10,FALSE)</f>
        <v>0.5228979913377456</v>
      </c>
      <c r="N96" s="61">
        <f t="shared" si="69"/>
        <v>0</v>
      </c>
      <c r="O96" s="57" t="str">
        <f>VLOOKUP(A96,Primary_Connections_To_Centers!$A$3:$K$116,9,FALSE)</f>
        <v>No</v>
      </c>
      <c r="P96" s="60">
        <f t="shared" si="70"/>
        <v>0</v>
      </c>
      <c r="Q96" s="38" t="str">
        <f>VLOOKUP(A96,Primary_Connections_To_Centers!$A$3:$K$116,10,FALSE)</f>
        <v>No</v>
      </c>
      <c r="R96" s="60">
        <f t="shared" si="71"/>
        <v>0</v>
      </c>
      <c r="S96" s="65">
        <f t="shared" si="72"/>
        <v>5</v>
      </c>
      <c r="T96" s="65"/>
      <c r="U96" s="73"/>
      <c r="V96" s="64">
        <f t="shared" si="73"/>
        <v>60</v>
      </c>
      <c r="W96" s="64">
        <f t="shared" si="74"/>
        <v>60</v>
      </c>
      <c r="X96" s="64">
        <f t="shared" si="75"/>
        <v>0</v>
      </c>
      <c r="Y96" s="38">
        <f>VLOOKUP(A96,Step_II_Load_CostRecovery_Sum!$A$5:$T$117,14,FALSE)</f>
        <v>3.36</v>
      </c>
      <c r="Z96" s="167" t="str">
        <f>VLOOKUP($A96,Step_II_Load_CostRecovery_Sum!$A$5:$T$117,15,FALSE)</f>
        <v>N/A</v>
      </c>
      <c r="AA96" s="38">
        <f t="shared" si="76"/>
        <v>2</v>
      </c>
      <c r="AB96" s="167" t="str">
        <f t="shared" si="77"/>
        <v>N/A</v>
      </c>
      <c r="AC96" s="288">
        <f>VLOOKUP($A96,Step_II_Load_CostRecovery_Sum!$A$5:$AE$117,29,FALSE)</f>
        <v>1.199992158092848</v>
      </c>
      <c r="AD96" s="289" t="str">
        <f>VLOOKUP($A96,Step_II_Load_CostRecovery_Sum!$A$5:$AE$117,30,FALSE)</f>
        <v>N/A</v>
      </c>
      <c r="AE96" s="290" t="str">
        <f>VLOOKUP($A96,Step_II_Load_CostRecovery_Sum!$A$5:$AE$117,31,FALSE)</f>
        <v>N/A</v>
      </c>
      <c r="AF96" s="38">
        <f t="shared" si="78"/>
        <v>2</v>
      </c>
      <c r="AG96" s="25" t="str">
        <f t="shared" si="79"/>
        <v>N/A</v>
      </c>
      <c r="AH96" s="167" t="str">
        <f t="shared" si="80"/>
        <v>N/A</v>
      </c>
      <c r="AI96" s="38">
        <f t="shared" si="81"/>
        <v>0</v>
      </c>
      <c r="AJ96" s="170" t="str">
        <f t="shared" si="82"/>
        <v>N/A</v>
      </c>
      <c r="AK96" s="25">
        <f t="shared" si="83"/>
        <v>30</v>
      </c>
      <c r="AL96" s="167">
        <f t="shared" si="84"/>
        <v>30</v>
      </c>
      <c r="AN96" s="220">
        <f t="shared" si="85"/>
        <v>2</v>
      </c>
      <c r="AO96" s="26">
        <f t="shared" si="86"/>
        <v>0</v>
      </c>
      <c r="AP96" s="209">
        <f t="shared" si="87"/>
        <v>0</v>
      </c>
      <c r="AQ96" s="38">
        <f t="shared" si="88"/>
        <v>15</v>
      </c>
      <c r="AR96" s="25">
        <f t="shared" si="89"/>
        <v>60</v>
      </c>
      <c r="AS96" s="170">
        <f t="shared" si="90"/>
        <v>30</v>
      </c>
      <c r="AT96" s="253" t="str">
        <f t="shared" si="91"/>
        <v>Frequent</v>
      </c>
      <c r="AU96" s="251">
        <v>2</v>
      </c>
      <c r="AV96" s="41">
        <v>6</v>
      </c>
      <c r="AW96" s="207">
        <v>6</v>
      </c>
      <c r="AX96" s="175">
        <f t="shared" si="100"/>
        <v>2</v>
      </c>
      <c r="AY96" s="41">
        <f t="shared" si="101"/>
        <v>5</v>
      </c>
      <c r="AZ96" s="207">
        <f t="shared" si="95"/>
        <v>3</v>
      </c>
      <c r="BA96" s="38">
        <f t="shared" si="92"/>
        <v>0</v>
      </c>
      <c r="BB96" s="25">
        <f t="shared" si="93"/>
        <v>-1</v>
      </c>
      <c r="BC96" s="167">
        <f t="shared" si="94"/>
        <v>-3</v>
      </c>
    </row>
    <row r="97" spans="1:55" ht="12.75">
      <c r="A97" t="s">
        <v>314</v>
      </c>
      <c r="B97" s="79">
        <v>94</v>
      </c>
      <c r="C97" s="5" t="s">
        <v>315</v>
      </c>
      <c r="D97" s="6" t="s">
        <v>21</v>
      </c>
      <c r="E97" s="17" t="s">
        <v>316</v>
      </c>
      <c r="F97" s="6">
        <v>25</v>
      </c>
      <c r="G97" s="67">
        <f>VLOOKUP($A97,HH_Jobs_CorridorLength!$A$2:$F$116,5,FALSE)</f>
        <v>758.9692666958425</v>
      </c>
      <c r="H97" s="62">
        <f t="shared" si="67"/>
        <v>0</v>
      </c>
      <c r="I97" s="67">
        <f>VLOOKUP($A97,HH_Jobs_CorridorLength!$A$2:$F$116,6,FALSE)</f>
        <v>2048.970964613592</v>
      </c>
      <c r="J97" s="62">
        <f t="shared" si="68"/>
        <v>0</v>
      </c>
      <c r="K97" s="319">
        <f>VLOOKUP(A97,Low_Income_Minority!$A$3:$J$115,8,FALSE)</f>
        <v>0.20438356014306022</v>
      </c>
      <c r="L97" s="60">
        <f>IF(Minority&gt;=Minority_Thrshld,Min_Pts,0)</f>
        <v>0</v>
      </c>
      <c r="M97" s="321">
        <f>VLOOKUP(A97,Low_Income_Minority!$A$3:$J$115,10,FALSE)</f>
        <v>0.6799999993778255</v>
      </c>
      <c r="N97" s="61">
        <f t="shared" si="69"/>
        <v>5</v>
      </c>
      <c r="O97" s="57" t="str">
        <f>VLOOKUP(A97,Primary_Connections_To_Centers!$A$3:$K$116,9,FALSE)</f>
        <v>No</v>
      </c>
      <c r="P97" s="60">
        <f t="shared" si="70"/>
        <v>0</v>
      </c>
      <c r="Q97" s="38" t="str">
        <f>VLOOKUP(A97,Primary_Connections_To_Centers!$A$3:$K$116,10,FALSE)</f>
        <v>No</v>
      </c>
      <c r="R97" s="60">
        <f t="shared" si="71"/>
        <v>0</v>
      </c>
      <c r="S97" s="65">
        <f t="shared" si="72"/>
        <v>5</v>
      </c>
      <c r="T97" s="65"/>
      <c r="U97" s="73"/>
      <c r="V97" s="64">
        <f t="shared" si="73"/>
        <v>60</v>
      </c>
      <c r="W97" s="64">
        <f t="shared" si="74"/>
        <v>60</v>
      </c>
      <c r="X97" s="64">
        <f t="shared" si="75"/>
        <v>0</v>
      </c>
      <c r="Y97" s="38">
        <f>VLOOKUP(A97,Step_II_Load_CostRecovery_Sum!$A$5:$T$117,14,FALSE)</f>
        <v>0.42</v>
      </c>
      <c r="Z97" s="167">
        <f>VLOOKUP($A97,Step_II_Load_CostRecovery_Sum!$A$5:$T$117,15,FALSE)</f>
        <v>0.27</v>
      </c>
      <c r="AA97" s="38">
        <f t="shared" si="76"/>
        <v>0</v>
      </c>
      <c r="AB97" s="167">
        <f t="shared" si="77"/>
        <v>0</v>
      </c>
      <c r="AC97" s="288">
        <f>VLOOKUP($A97,Step_II_Load_CostRecovery_Sum!$A$5:$AE$117,29,FALSE)</f>
        <v>0.1586198243412798</v>
      </c>
      <c r="AD97" s="289">
        <f>VLOOKUP($A97,Step_II_Load_CostRecovery_Sum!$A$5:$AE$117,30,FALSE)</f>
        <v>0.05656210790464242</v>
      </c>
      <c r="AE97" s="290" t="str">
        <f>VLOOKUP($A97,Step_II_Load_CostRecovery_Sum!$A$5:$AE$117,31,FALSE)</f>
        <v>N/A</v>
      </c>
      <c r="AF97" s="38">
        <f t="shared" si="78"/>
        <v>0</v>
      </c>
      <c r="AG97" s="25">
        <f t="shared" si="79"/>
        <v>0</v>
      </c>
      <c r="AH97" s="167" t="str">
        <f t="shared" si="80"/>
        <v>N/A</v>
      </c>
      <c r="AI97" s="38">
        <f t="shared" si="81"/>
        <v>0</v>
      </c>
      <c r="AJ97" s="170" t="str">
        <f t="shared" si="82"/>
        <v>N/A</v>
      </c>
      <c r="AK97" s="25">
        <f t="shared" si="83"/>
        <v>0</v>
      </c>
      <c r="AL97" s="167">
        <f t="shared" si="84"/>
        <v>0</v>
      </c>
      <c r="AN97" s="220">
        <f t="shared" si="85"/>
        <v>0</v>
      </c>
      <c r="AO97" s="26">
        <f t="shared" si="86"/>
        <v>0</v>
      </c>
      <c r="AP97" s="209">
        <f t="shared" si="87"/>
        <v>0</v>
      </c>
      <c r="AQ97" s="38">
        <f t="shared" si="88"/>
        <v>60</v>
      </c>
      <c r="AR97" s="25">
        <f t="shared" si="89"/>
        <v>60</v>
      </c>
      <c r="AS97" s="170">
        <f t="shared" si="90"/>
        <v>0</v>
      </c>
      <c r="AT97" s="253" t="str">
        <f t="shared" si="91"/>
        <v>Hourly</v>
      </c>
      <c r="AU97" s="251">
        <v>3</v>
      </c>
      <c r="AV97" s="41">
        <v>5</v>
      </c>
      <c r="AW97" s="207">
        <v>6</v>
      </c>
      <c r="AX97" s="175">
        <f t="shared" si="100"/>
        <v>5</v>
      </c>
      <c r="AY97" s="41">
        <f t="shared" si="101"/>
        <v>5</v>
      </c>
      <c r="AZ97" s="207">
        <f t="shared" si="95"/>
        <v>6</v>
      </c>
      <c r="BA97" s="38">
        <f t="shared" si="92"/>
        <v>2</v>
      </c>
      <c r="BB97" s="25">
        <f t="shared" si="93"/>
        <v>0</v>
      </c>
      <c r="BC97" s="167">
        <f t="shared" si="94"/>
        <v>0</v>
      </c>
    </row>
    <row r="98" spans="1:55" ht="12.75">
      <c r="A98" t="s">
        <v>312</v>
      </c>
      <c r="B98" s="79">
        <v>95</v>
      </c>
      <c r="C98" s="5" t="s">
        <v>189</v>
      </c>
      <c r="D98" s="6" t="s">
        <v>239</v>
      </c>
      <c r="E98" s="17" t="s">
        <v>313</v>
      </c>
      <c r="F98" s="6">
        <v>935</v>
      </c>
      <c r="G98" s="67">
        <f>VLOOKUP($A98,HH_Jobs_CorridorLength!$A$2:$F$116,5,FALSE)</f>
        <v>508.51827530551515</v>
      </c>
      <c r="H98" s="62">
        <f t="shared" si="67"/>
        <v>0</v>
      </c>
      <c r="I98" s="67">
        <f>VLOOKUP($A98,HH_Jobs_CorridorLength!$A$2:$F$116,6,FALSE)</f>
        <v>579.1757577675071</v>
      </c>
      <c r="J98" s="62">
        <f t="shared" si="68"/>
        <v>0</v>
      </c>
      <c r="K98" s="319">
        <f>VLOOKUP(A98,Low_Income_Minority!$A$3:$J$115,8,FALSE)</f>
        <v>0</v>
      </c>
      <c r="L98" s="60">
        <f>IF(Minority&gt;=Minority_Thrshld,Min_Pts,0)</f>
        <v>0</v>
      </c>
      <c r="M98" s="321">
        <f>VLOOKUP(A98,Low_Income_Minority!$A$3:$J$115,10,FALSE)</f>
        <v>0.024096385542168676</v>
      </c>
      <c r="N98" s="61">
        <f t="shared" si="69"/>
        <v>0</v>
      </c>
      <c r="O98" s="57" t="str">
        <f>VLOOKUP(A98,Primary_Connections_To_Centers!$A$3:$K$116,9,FALSE)</f>
        <v>Yes</v>
      </c>
      <c r="P98" s="60">
        <f t="shared" si="70"/>
        <v>5</v>
      </c>
      <c r="Q98" s="38" t="str">
        <f>VLOOKUP(A98,Primary_Connections_To_Centers!$A$3:$K$116,10,FALSE)</f>
        <v>No</v>
      </c>
      <c r="R98" s="60">
        <f t="shared" si="71"/>
        <v>0</v>
      </c>
      <c r="S98" s="65">
        <f t="shared" si="72"/>
        <v>5</v>
      </c>
      <c r="T98" s="65"/>
      <c r="U98" s="73"/>
      <c r="V98" s="64">
        <f t="shared" si="73"/>
        <v>60</v>
      </c>
      <c r="W98" s="64">
        <f t="shared" si="74"/>
        <v>60</v>
      </c>
      <c r="X98" s="64">
        <f t="shared" si="75"/>
        <v>0</v>
      </c>
      <c r="Y98" s="38">
        <f>VLOOKUP(A98,Step_II_Load_CostRecovery_Sum!$A$5:$T$117,14,FALSE)</f>
        <v>0.23</v>
      </c>
      <c r="Z98" s="167">
        <f>VLOOKUP($A98,Step_II_Load_CostRecovery_Sum!$A$5:$T$117,15,FALSE)</f>
        <v>0.2</v>
      </c>
      <c r="AA98" s="38">
        <f t="shared" si="76"/>
        <v>0</v>
      </c>
      <c r="AB98" s="167">
        <f t="shared" si="77"/>
        <v>0</v>
      </c>
      <c r="AC98" s="288">
        <f>VLOOKUP($A98,Step_II_Load_CostRecovery_Sum!$A$5:$AE$117,29,FALSE)</f>
        <v>0.10153074027603515</v>
      </c>
      <c r="AD98" s="289">
        <f>VLOOKUP($A98,Step_II_Load_CostRecovery_Sum!$A$5:$AE$117,30,FALSE)</f>
        <v>0.03112452948557089</v>
      </c>
      <c r="AE98" s="290" t="str">
        <f>VLOOKUP($A98,Step_II_Load_CostRecovery_Sum!$A$5:$AE$117,31,FALSE)</f>
        <v>N/A</v>
      </c>
      <c r="AF98" s="38">
        <f t="shared" si="78"/>
        <v>0</v>
      </c>
      <c r="AG98" s="25">
        <f t="shared" si="79"/>
        <v>0</v>
      </c>
      <c r="AH98" s="167" t="str">
        <f t="shared" si="80"/>
        <v>N/A</v>
      </c>
      <c r="AI98" s="38">
        <f t="shared" si="81"/>
        <v>0</v>
      </c>
      <c r="AJ98" s="170" t="str">
        <f t="shared" si="82"/>
        <v>N/A</v>
      </c>
      <c r="AK98" s="25">
        <f t="shared" si="83"/>
        <v>0</v>
      </c>
      <c r="AL98" s="167">
        <f t="shared" si="84"/>
        <v>0</v>
      </c>
      <c r="AN98" s="220">
        <f t="shared" si="85"/>
        <v>0</v>
      </c>
      <c r="AO98" s="26">
        <f t="shared" si="86"/>
        <v>0</v>
      </c>
      <c r="AP98" s="209">
        <f t="shared" si="87"/>
        <v>0</v>
      </c>
      <c r="AQ98" s="38">
        <f t="shared" si="88"/>
        <v>60</v>
      </c>
      <c r="AR98" s="25">
        <f t="shared" si="89"/>
        <v>60</v>
      </c>
      <c r="AS98" s="170">
        <f t="shared" si="90"/>
        <v>0</v>
      </c>
      <c r="AT98" s="253" t="str">
        <f t="shared" si="91"/>
        <v>Hourly</v>
      </c>
      <c r="AU98" s="251">
        <v>3</v>
      </c>
      <c r="AV98" s="41">
        <v>5</v>
      </c>
      <c r="AW98" s="207">
        <v>6</v>
      </c>
      <c r="AX98" s="175">
        <f t="shared" si="100"/>
        <v>5</v>
      </c>
      <c r="AY98" s="41">
        <f t="shared" si="101"/>
        <v>5</v>
      </c>
      <c r="AZ98" s="207">
        <f t="shared" si="95"/>
        <v>6</v>
      </c>
      <c r="BA98" s="38">
        <f t="shared" si="92"/>
        <v>2</v>
      </c>
      <c r="BB98" s="25">
        <f t="shared" si="93"/>
        <v>0</v>
      </c>
      <c r="BC98" s="167">
        <f t="shared" si="94"/>
        <v>0</v>
      </c>
    </row>
    <row r="99" spans="1:55" ht="12.75">
      <c r="A99" t="s">
        <v>309</v>
      </c>
      <c r="B99" s="79">
        <v>96</v>
      </c>
      <c r="C99" s="5" t="s">
        <v>310</v>
      </c>
      <c r="D99" s="6" t="s">
        <v>120</v>
      </c>
      <c r="E99" s="17" t="s">
        <v>311</v>
      </c>
      <c r="F99" s="6">
        <v>251</v>
      </c>
      <c r="G99" s="67">
        <f>VLOOKUP($A99,HH_Jobs_CorridorLength!$A$2:$F$116,5,FALSE)</f>
        <v>201.99370439410575</v>
      </c>
      <c r="H99" s="62">
        <f t="shared" si="67"/>
        <v>0</v>
      </c>
      <c r="I99" s="67">
        <f>VLOOKUP($A99,HH_Jobs_CorridorLength!$A$2:$F$116,6,FALSE)</f>
        <v>567.4032921466328</v>
      </c>
      <c r="J99" s="62">
        <f t="shared" si="68"/>
        <v>0</v>
      </c>
      <c r="K99" s="319">
        <f>VLOOKUP(A99,Low_Income_Minority!$A$3:$J$115,8,FALSE)</f>
        <v>0.13008779220682043</v>
      </c>
      <c r="L99" s="60">
        <f>IF(Minority&gt;=Minority_Thrshld,Min_Pts,0)</f>
        <v>0</v>
      </c>
      <c r="M99" s="321">
        <f>VLOOKUP(A99,Low_Income_Minority!$A$3:$J$115,10,FALSE)</f>
        <v>0</v>
      </c>
      <c r="N99" s="61">
        <f t="shared" si="69"/>
        <v>0</v>
      </c>
      <c r="O99" s="57" t="str">
        <f>VLOOKUP(A99,Primary_Connections_To_Centers!$A$3:$K$116,9,FALSE)</f>
        <v>Yes</v>
      </c>
      <c r="P99" s="60">
        <f t="shared" si="70"/>
        <v>5</v>
      </c>
      <c r="Q99" s="38" t="str">
        <f>VLOOKUP(A99,Primary_Connections_To_Centers!$A$3:$K$116,10,FALSE)</f>
        <v>No</v>
      </c>
      <c r="R99" s="60">
        <f t="shared" si="71"/>
        <v>0</v>
      </c>
      <c r="S99" s="65">
        <f t="shared" si="72"/>
        <v>5</v>
      </c>
      <c r="T99" s="65"/>
      <c r="U99" s="73"/>
      <c r="V99" s="64">
        <f t="shared" si="73"/>
        <v>60</v>
      </c>
      <c r="W99" s="64">
        <f t="shared" si="74"/>
        <v>60</v>
      </c>
      <c r="X99" s="64">
        <f t="shared" si="75"/>
        <v>0</v>
      </c>
      <c r="Y99" s="38">
        <f>VLOOKUP(A99,Step_II_Load_CostRecovery_Sum!$A$5:$T$117,14,FALSE)</f>
        <v>0.32</v>
      </c>
      <c r="Z99" s="167">
        <f>VLOOKUP($A99,Step_II_Load_CostRecovery_Sum!$A$5:$T$117,15,FALSE)</f>
        <v>0.27</v>
      </c>
      <c r="AA99" s="38">
        <f t="shared" si="76"/>
        <v>0</v>
      </c>
      <c r="AB99" s="167">
        <f t="shared" si="77"/>
        <v>0</v>
      </c>
      <c r="AC99" s="288">
        <f>VLOOKUP($A99,Step_II_Load_CostRecovery_Sum!$A$5:$AE$117,29,FALSE)</f>
        <v>0.11013801756587202</v>
      </c>
      <c r="AD99" s="289">
        <f>VLOOKUP($A99,Step_II_Load_CostRecovery_Sum!$A$5:$AE$117,30,FALSE)</f>
        <v>0.044803952321204515</v>
      </c>
      <c r="AE99" s="290" t="str">
        <f>VLOOKUP($A99,Step_II_Load_CostRecovery_Sum!$A$5:$AE$117,31,FALSE)</f>
        <v>N/A</v>
      </c>
      <c r="AF99" s="38">
        <f t="shared" si="78"/>
        <v>0</v>
      </c>
      <c r="AG99" s="25">
        <f t="shared" si="79"/>
        <v>0</v>
      </c>
      <c r="AH99" s="167" t="str">
        <f t="shared" si="80"/>
        <v>N/A</v>
      </c>
      <c r="AI99" s="38">
        <f t="shared" si="81"/>
        <v>0</v>
      </c>
      <c r="AJ99" s="170" t="str">
        <f t="shared" si="82"/>
        <v>N/A</v>
      </c>
      <c r="AK99" s="25">
        <f t="shared" si="83"/>
        <v>0</v>
      </c>
      <c r="AL99" s="167">
        <f t="shared" si="84"/>
        <v>0</v>
      </c>
      <c r="AN99" s="220">
        <f t="shared" si="85"/>
        <v>0</v>
      </c>
      <c r="AO99" s="26">
        <f t="shared" si="86"/>
        <v>0</v>
      </c>
      <c r="AP99" s="209">
        <f t="shared" si="87"/>
        <v>0</v>
      </c>
      <c r="AQ99" s="38">
        <f t="shared" si="88"/>
        <v>60</v>
      </c>
      <c r="AR99" s="25">
        <f t="shared" si="89"/>
        <v>60</v>
      </c>
      <c r="AS99" s="170">
        <f t="shared" si="90"/>
        <v>0</v>
      </c>
      <c r="AT99" s="253" t="str">
        <f t="shared" si="91"/>
        <v>Hourly</v>
      </c>
      <c r="AU99" s="251">
        <v>3</v>
      </c>
      <c r="AV99" s="41">
        <v>5</v>
      </c>
      <c r="AW99" s="207">
        <v>6</v>
      </c>
      <c r="AX99" s="175">
        <f t="shared" si="100"/>
        <v>5</v>
      </c>
      <c r="AY99" s="41">
        <f t="shared" si="101"/>
        <v>5</v>
      </c>
      <c r="AZ99" s="207">
        <f t="shared" si="95"/>
        <v>6</v>
      </c>
      <c r="BA99" s="38">
        <f t="shared" si="92"/>
        <v>2</v>
      </c>
      <c r="BB99" s="25">
        <f t="shared" si="93"/>
        <v>0</v>
      </c>
      <c r="BC99" s="167">
        <f t="shared" si="94"/>
        <v>0</v>
      </c>
    </row>
    <row r="100" spans="1:55" ht="12.75">
      <c r="A100" t="s">
        <v>306</v>
      </c>
      <c r="B100" s="79">
        <v>97</v>
      </c>
      <c r="C100" s="5" t="s">
        <v>120</v>
      </c>
      <c r="D100" s="6" t="s">
        <v>307</v>
      </c>
      <c r="E100" s="17" t="s">
        <v>308</v>
      </c>
      <c r="F100" s="6">
        <v>224</v>
      </c>
      <c r="G100" s="67">
        <f>VLOOKUP($A100,HH_Jobs_CorridorLength!$A$2:$F$116,5,FALSE)</f>
        <v>157.68468108449156</v>
      </c>
      <c r="H100" s="62">
        <f aca="true" t="shared" si="102" ref="H100:H116">IF(Households__Corridor_Mile&gt;HH_High_Thrshld,HH_High_Pts,IF(Households__Corridor_Mile&gt;HH_Mid_Thrshld,HH_Mid_Pts,IF(Households__Corridor_Mile&gt;HH_Low_Thrshld,HH_Low_Pts,0)))</f>
        <v>0</v>
      </c>
      <c r="I100" s="67">
        <f>VLOOKUP($A100,HH_Jobs_CorridorLength!$A$2:$F$116,6,FALSE)</f>
        <v>222.49043132647924</v>
      </c>
      <c r="J100" s="62">
        <f aca="true" t="shared" si="103" ref="J100:J116">IF(Jobs__CorridorMile&gt;Jobs_High_Thrshld,Jobs_High_Pts,IF(Jobs__CorridorMile&gt;Jobs_Mid_Thrshld,Jobs_Mid_pts,IF(Jobs__CorridorMile&gt;Jobs_Low_Thrshld,Jobs_Low_Pts,0)))</f>
        <v>0</v>
      </c>
      <c r="K100" s="319">
        <f>VLOOKUP(A100,Low_Income_Minority!$A$3:$J$115,8,FALSE)</f>
        <v>0.40808080847306394</v>
      </c>
      <c r="L100" s="60">
        <f>IF(Minority&gt;=Minority_Thrshld,Min_Pts,0)</f>
        <v>0</v>
      </c>
      <c r="M100" s="321">
        <f>VLOOKUP(A100,Low_Income_Minority!$A$3:$J$115,10,FALSE)</f>
        <v>0.14747474627973547</v>
      </c>
      <c r="N100" s="61">
        <f aca="true" t="shared" si="104" ref="N100:N116">IF(Low_Income&gt;=Demo_Thrshld,Demo_Pts,0)</f>
        <v>0</v>
      </c>
      <c r="O100" s="57" t="str">
        <f>VLOOKUP(A100,Primary_Connections_To_Centers!$A$3:$K$116,9,FALSE)</f>
        <v>Yes</v>
      </c>
      <c r="P100" s="60">
        <f aca="true" t="shared" si="105" ref="P100:P131">IF(O100=P$120,O$120,IF(O100&gt;P$121,O$121,0))</f>
        <v>5</v>
      </c>
      <c r="Q100" s="38" t="str">
        <f>VLOOKUP(A100,Primary_Connections_To_Centers!$A$3:$K$116,10,FALSE)</f>
        <v>No</v>
      </c>
      <c r="R100" s="60">
        <f aca="true" t="shared" si="106" ref="R100:R131">IF(Q100=R$120,Q$120,IF(Q100&gt;R$121,Q$121,0))</f>
        <v>0</v>
      </c>
      <c r="S100" s="65">
        <f aca="true" t="shared" si="107" ref="S100:S116">HH_Pts+Jobs_Pts+Minority_Pts+Low_Income_Pts+ActivityCntr_Pts+RegionalCntr_Pts</f>
        <v>5</v>
      </c>
      <c r="T100" s="65"/>
      <c r="U100" s="73"/>
      <c r="V100" s="64">
        <f aca="true" t="shared" si="108" ref="V100:V116">IF(RapidRide="YES","Better than 15 min",IF(Total_Score&gt;Peak_15min_Pts,LOS_15Min,IF(Total_Score&gt;Peak_30min_Pts,LOS_30Min,IF(Total_Score&gt;Peak_60min_Pts,LOS_60Min,0))))</f>
        <v>60</v>
      </c>
      <c r="W100" s="64">
        <f aca="true" t="shared" si="109" ref="W100:W116">IF(RapidRide="YES",15,IF(Total_Score&gt;OffPeak_15min_Pts,LOS_15Min,IF(Total_Score&gt;OffPeak_30min_Pts,LOS_30Min,IF(Total_Score&gt;OffPeak_60min_Pts,LOS_60Min,0))))</f>
        <v>60</v>
      </c>
      <c r="X100" s="64">
        <f aca="true" t="shared" si="110" ref="X100:X116">IF(RapidRide="YES",15,IF(Total_Score&gt;Night_15min_Pts,LOS_15Min,IF(Total_Score&gt;Night_30min_Pts,LOS_30Min,IF(Total_Score&gt;Night_60min_Pts,LOS_60Min,0))))</f>
        <v>0</v>
      </c>
      <c r="Y100" s="38">
        <f>VLOOKUP(A100,Step_II_Load_CostRecovery_Sum!$A$5:$T$117,14,FALSE)</f>
        <v>0.33</v>
      </c>
      <c r="Z100" s="167">
        <f>VLOOKUP($A100,Step_II_Load_CostRecovery_Sum!$A$5:$T$117,15,FALSE)</f>
        <v>0.29</v>
      </c>
      <c r="AA100" s="38">
        <f aca="true" t="shared" si="111" ref="AA100:AA116">IF(Peak_Load="N/A","N/A",IF(Peak_Load&gt;=Load_1.5,Load_2StepIncrease,IF(Peak_Load&gt;=Load_0.8,Load_1StepIncrease,0)))</f>
        <v>0</v>
      </c>
      <c r="AB100" s="167">
        <f aca="true" t="shared" si="112" ref="AB100:AB116">IF(OffPeak_Load="N/A","N/A",IF(OffPeak_Load&gt;=Load_1.5,Load_2StepIncrease,IF(OffPeak_Load&gt;=Load_0.8,Load_1StepIncrease,0)))</f>
        <v>0</v>
      </c>
      <c r="AC100" s="288">
        <f>VLOOKUP($A100,Step_II_Load_CostRecovery_Sum!$A$5:$AE$117,29,FALSE)</f>
        <v>0.03618569636135509</v>
      </c>
      <c r="AD100" s="289">
        <f>VLOOKUP($A100,Step_II_Load_CostRecovery_Sum!$A$5:$AE$117,30,FALSE)</f>
        <v>0.03896329987452949</v>
      </c>
      <c r="AE100" s="290" t="str">
        <f>VLOOKUP($A100,Step_II_Load_CostRecovery_Sum!$A$5:$AE$117,31,FALSE)</f>
        <v>N/A</v>
      </c>
      <c r="AF100" s="38">
        <f aca="true" t="shared" si="113" ref="AF100:AF116">IF(Peak_CostRecovery="N/A","N/A",IF(Peak_CostRecovery&gt;=CostRecovery100,CostRecovery100_StepIncrease,IF(Peak_CostRecovery&gt;=CostRecovery50,CostRecovery50_StepIncrease,0)))</f>
        <v>0</v>
      </c>
      <c r="AG100" s="25">
        <f aca="true" t="shared" si="114" ref="AG100:AG116">IF(OffPeak_CostRecovery="N/A","N/A",IF(OffPeak_CostRecovery&gt;=CostRecovery100,CostRecovery100_StepIncrease,IF(OffPeak_CostRecovery&gt;=CostRecovery50,CostRecovery50_StepIncrease,0)))</f>
        <v>0</v>
      </c>
      <c r="AH100" s="167" t="str">
        <f aca="true" t="shared" si="115" ref="AH100:AH116">IF(Night_CostRecovery="N/A","N/A",IF(Night_CostRecovery&gt;=CostRecovery100,CostRecovery100_StepIncrease,IF(Night_CostRecovery&gt;=CostRecovery33,CostRecovery33_StepIncrease,0)))</f>
        <v>N/A</v>
      </c>
      <c r="AI100" s="38">
        <f aca="true" t="shared" si="116" ref="AI100:AI116">IF(RegionalCntr_Pts=5,60,0)</f>
        <v>0</v>
      </c>
      <c r="AJ100" s="170" t="str">
        <f aca="true" t="shared" si="117" ref="AJ100:AJ116">IF(Night_CostRecovery="N/A","N/A",IF(Night_CostRecovery&gt;=CostRecovery16,CostRecovery16_StepIncrease,IF(Night_CostRecovery&gt;=CostRecovery8,CostRecovery8_StepIncrease,0)))</f>
        <v>N/A</v>
      </c>
      <c r="AK100" s="25">
        <f aca="true" t="shared" si="118" ref="AK100:AK116">IF(FinalPeak_Service=15,30,IF(FinalPeak_Service="Better than 15 min",30,0))</f>
        <v>0</v>
      </c>
      <c r="AL100" s="167">
        <f aca="true" t="shared" si="119" ref="AL100:AL131">IF(AK100=30,30,IF(AJ100=30,30,IF(AJ100=60,60,IF(AI100=60,60,0))))</f>
        <v>0</v>
      </c>
      <c r="AN100" s="220">
        <f aca="true" t="shared" si="120" ref="AN100:AN116">IF(AA100=2,2,IF(AF100=2,2,IF(AF100=1,1,IF(AA100=1,1,0))))</f>
        <v>0</v>
      </c>
      <c r="AO100" s="26">
        <f aca="true" t="shared" si="121" ref="AO100:AO116">IF(AB100=2,2,IF(AG100=2,2,IF(AG100=1,1,IF(AB100=1,1,0))))</f>
        <v>0</v>
      </c>
      <c r="AP100" s="209">
        <f aca="true" t="shared" si="122" ref="AP100:AP116">IF(AC100=2,2,IF(AH100=2,2,IF(AH100=1,1,IF(AC100=1,1,0))))</f>
        <v>0</v>
      </c>
      <c r="AQ100" s="38">
        <f aca="true" t="shared" si="123" ref="AQ100:AQ116">IF(V100="Better than 15 min",V100,IF(AN100=2,IF(V100&lt;=30,"Better than 15 min",IF(V100=60,15,30)),IF(AN100=1,IF(V100=15,"Better than 15 min",IF(V100=30,15,30)),V100)))</f>
        <v>60</v>
      </c>
      <c r="AR100" s="25">
        <f aca="true" t="shared" si="124" ref="AR100:AR116">IF(AO100=2,IF(W100&lt;=30,"Better than 15 min",IF(W100=60,15,30)),IF(AO100=1,IF(W100=15,"Better than 15 min",IF(W100=30,15,30)),W100))</f>
        <v>60</v>
      </c>
      <c r="AS100" s="170">
        <f aca="true" t="shared" si="125" ref="AS100:AS116">IF(AP100=2,IF(X100&gt;=30,"Better than 15 min",IF(X100=60,15,30)),IF(AP100=1,IF(X100=15,"Better than 15 min",IF(X100=30,15,30)),IF(X100=0,AL100,IF(AL100&lt;X100,AL100,X100))))</f>
        <v>0</v>
      </c>
      <c r="AT100" s="253" t="str">
        <f aca="true" t="shared" si="126" ref="AT100:AT116">IF(AX100&lt;=2,IF(AY100&lt;=2,"Very Frequent","Frequent"),IF(AX100&lt;=4,"Local","Hourly"))</f>
        <v>Hourly</v>
      </c>
      <c r="AU100" s="251">
        <v>5</v>
      </c>
      <c r="AV100" s="41">
        <v>5</v>
      </c>
      <c r="AW100" s="207">
        <v>6</v>
      </c>
      <c r="AX100" s="175">
        <f t="shared" si="100"/>
        <v>5</v>
      </c>
      <c r="AY100" s="41">
        <f t="shared" si="101"/>
        <v>5</v>
      </c>
      <c r="AZ100" s="207">
        <f t="shared" si="95"/>
        <v>6</v>
      </c>
      <c r="BA100" s="38">
        <f aca="true" t="shared" si="127" ref="BA100:BA116">AX100-AU100</f>
        <v>0</v>
      </c>
      <c r="BB100" s="25">
        <f aca="true" t="shared" si="128" ref="BB100:BB116">AY100-AV100</f>
        <v>0</v>
      </c>
      <c r="BC100" s="167">
        <f aca="true" t="shared" si="129" ref="BC100:BC116">AZ100-AW100</f>
        <v>0</v>
      </c>
    </row>
    <row r="101" spans="1:55" ht="12.75">
      <c r="A101" t="s">
        <v>304</v>
      </c>
      <c r="B101" s="79">
        <v>98</v>
      </c>
      <c r="C101" s="5" t="s">
        <v>210</v>
      </c>
      <c r="D101" s="6" t="s">
        <v>119</v>
      </c>
      <c r="E101" s="17" t="s">
        <v>305</v>
      </c>
      <c r="F101" s="6">
        <v>249</v>
      </c>
      <c r="G101" s="67">
        <f>VLOOKUP($A101,HH_Jobs_CorridorLength!$A$2:$F$116,5,FALSE)</f>
        <v>556.3437014067658</v>
      </c>
      <c r="H101" s="62">
        <f t="shared" si="102"/>
        <v>0</v>
      </c>
      <c r="I101" s="67">
        <f>VLOOKUP($A101,HH_Jobs_CorridorLength!$A$2:$F$116,6,FALSE)</f>
        <v>2601.773770827527</v>
      </c>
      <c r="J101" s="62">
        <f t="shared" si="103"/>
        <v>0</v>
      </c>
      <c r="K101" s="319">
        <f>VLOOKUP(A101,Low_Income_Minority!$A$3:$J$115,8,FALSE)</f>
        <v>0.30711610506121656</v>
      </c>
      <c r="L101" s="60">
        <f>IF(Minority&gt;=Minority_Thrshld,Min_Pts,0)</f>
        <v>0</v>
      </c>
      <c r="M101" s="321">
        <f>VLOOKUP(A101,Low_Income_Minority!$A$3:$J$115,10,FALSE)</f>
        <v>0</v>
      </c>
      <c r="N101" s="61">
        <f t="shared" si="104"/>
        <v>0</v>
      </c>
      <c r="O101" s="57" t="str">
        <f>VLOOKUP(A101,Primary_Connections_To_Centers!$A$3:$K$116,9,FALSE)</f>
        <v>Yes</v>
      </c>
      <c r="P101" s="60">
        <f t="shared" si="105"/>
        <v>5</v>
      </c>
      <c r="Q101" s="38" t="str">
        <f>VLOOKUP(A101,Primary_Connections_To_Centers!$A$3:$K$116,10,FALSE)</f>
        <v>No</v>
      </c>
      <c r="R101" s="60">
        <f t="shared" si="106"/>
        <v>0</v>
      </c>
      <c r="S101" s="65">
        <f t="shared" si="107"/>
        <v>5</v>
      </c>
      <c r="T101" s="65"/>
      <c r="U101" s="73"/>
      <c r="V101" s="64">
        <f t="shared" si="108"/>
        <v>60</v>
      </c>
      <c r="W101" s="64">
        <f t="shared" si="109"/>
        <v>60</v>
      </c>
      <c r="X101" s="64">
        <f t="shared" si="110"/>
        <v>0</v>
      </c>
      <c r="Y101" s="38">
        <f>VLOOKUP(A101,Step_II_Load_CostRecovery_Sum!$A$5:$T$117,14,FALSE)</f>
        <v>0.49</v>
      </c>
      <c r="Z101" s="167">
        <f>VLOOKUP($A101,Step_II_Load_CostRecovery_Sum!$A$5:$T$117,15,FALSE)</f>
        <v>0.5</v>
      </c>
      <c r="AA101" s="38">
        <f t="shared" si="111"/>
        <v>0</v>
      </c>
      <c r="AB101" s="167">
        <f t="shared" si="112"/>
        <v>0</v>
      </c>
      <c r="AC101" s="288">
        <f>VLOOKUP($A101,Step_II_Load_CostRecovery_Sum!$A$5:$AE$117,29,FALSE)</f>
        <v>0.2376662484316186</v>
      </c>
      <c r="AD101" s="289">
        <f>VLOOKUP($A101,Step_II_Load_CostRecovery_Sum!$A$5:$AE$117,30,FALSE)</f>
        <v>0.10282622333751569</v>
      </c>
      <c r="AE101" s="290" t="str">
        <f>VLOOKUP($A101,Step_II_Load_CostRecovery_Sum!$A$5:$AE$117,31,FALSE)</f>
        <v>N/A</v>
      </c>
      <c r="AF101" s="38">
        <f t="shared" si="113"/>
        <v>0</v>
      </c>
      <c r="AG101" s="25">
        <f t="shared" si="114"/>
        <v>0</v>
      </c>
      <c r="AH101" s="167" t="str">
        <f t="shared" si="115"/>
        <v>N/A</v>
      </c>
      <c r="AI101" s="38">
        <f t="shared" si="116"/>
        <v>0</v>
      </c>
      <c r="AJ101" s="170" t="str">
        <f t="shared" si="117"/>
        <v>N/A</v>
      </c>
      <c r="AK101" s="25">
        <f t="shared" si="118"/>
        <v>0</v>
      </c>
      <c r="AL101" s="167">
        <f t="shared" si="119"/>
        <v>0</v>
      </c>
      <c r="AN101" s="220">
        <f t="shared" si="120"/>
        <v>0</v>
      </c>
      <c r="AO101" s="26">
        <f t="shared" si="121"/>
        <v>0</v>
      </c>
      <c r="AP101" s="209">
        <f t="shared" si="122"/>
        <v>0</v>
      </c>
      <c r="AQ101" s="38">
        <f t="shared" si="123"/>
        <v>60</v>
      </c>
      <c r="AR101" s="25">
        <f t="shared" si="124"/>
        <v>60</v>
      </c>
      <c r="AS101" s="170">
        <f t="shared" si="125"/>
        <v>0</v>
      </c>
      <c r="AT101" s="253" t="str">
        <f t="shared" si="126"/>
        <v>Hourly</v>
      </c>
      <c r="AU101" s="251">
        <v>3</v>
      </c>
      <c r="AV101" s="41">
        <v>5</v>
      </c>
      <c r="AW101" s="207">
        <v>6</v>
      </c>
      <c r="AX101" s="175">
        <f t="shared" si="100"/>
        <v>5</v>
      </c>
      <c r="AY101" s="41">
        <f t="shared" si="101"/>
        <v>5</v>
      </c>
      <c r="AZ101" s="207">
        <f aca="true" t="shared" si="130" ref="AZ101:AZ116">IF(AS101="Better than 15 min",1,IF(AS101=15,2,IF(AS101=30,3,IF(AS101=60,5,6))))</f>
        <v>6</v>
      </c>
      <c r="BA101" s="38">
        <f t="shared" si="127"/>
        <v>2</v>
      </c>
      <c r="BB101" s="25">
        <f t="shared" si="128"/>
        <v>0</v>
      </c>
      <c r="BC101" s="167">
        <f t="shared" si="129"/>
        <v>0</v>
      </c>
    </row>
    <row r="102" spans="1:55" ht="12.75">
      <c r="A102" t="s">
        <v>300</v>
      </c>
      <c r="B102" s="79">
        <v>99</v>
      </c>
      <c r="C102" s="5" t="s">
        <v>213</v>
      </c>
      <c r="D102" s="6" t="s">
        <v>119</v>
      </c>
      <c r="E102" s="17" t="s">
        <v>301</v>
      </c>
      <c r="F102" s="6">
        <v>246</v>
      </c>
      <c r="G102" s="67">
        <f>VLOOKUP($A102,HH_Jobs_CorridorLength!$A$2:$F$116,5,FALSE)</f>
        <v>431.91315712768295</v>
      </c>
      <c r="H102" s="62">
        <f t="shared" si="102"/>
        <v>0</v>
      </c>
      <c r="I102" s="67">
        <f>VLOOKUP($A102,HH_Jobs_CorridorLength!$A$2:$F$116,6,FALSE)</f>
        <v>2031.2491199506528</v>
      </c>
      <c r="J102" s="62">
        <f t="shared" si="103"/>
        <v>0</v>
      </c>
      <c r="K102" s="319">
        <f>VLOOKUP(A102,Low_Income_Minority!$A$3:$J$115,8,FALSE)</f>
        <v>0.8299465226132159</v>
      </c>
      <c r="L102" s="60">
        <f>IF(Minority&gt;=Minority_Thrshld,Min_Pts,0)</f>
        <v>5</v>
      </c>
      <c r="M102" s="321">
        <f>VLOOKUP(A102,Low_Income_Minority!$A$3:$J$115,10,FALSE)</f>
        <v>0.3657753993582012</v>
      </c>
      <c r="N102" s="61">
        <f t="shared" si="104"/>
        <v>0</v>
      </c>
      <c r="O102" s="57" t="str">
        <f>VLOOKUP(A102,Primary_Connections_To_Centers!$A$3:$K$116,9,FALSE)</f>
        <v>No</v>
      </c>
      <c r="P102" s="60">
        <f t="shared" si="105"/>
        <v>0</v>
      </c>
      <c r="Q102" s="38" t="str">
        <f>VLOOKUP(A102,Primary_Connections_To_Centers!$A$3:$K$116,10,FALSE)</f>
        <v>No</v>
      </c>
      <c r="R102" s="60">
        <f t="shared" si="106"/>
        <v>0</v>
      </c>
      <c r="S102" s="65">
        <f t="shared" si="107"/>
        <v>5</v>
      </c>
      <c r="T102" s="65"/>
      <c r="U102" s="73"/>
      <c r="V102" s="64">
        <f t="shared" si="108"/>
        <v>60</v>
      </c>
      <c r="W102" s="64">
        <f t="shared" si="109"/>
        <v>60</v>
      </c>
      <c r="X102" s="64">
        <f t="shared" si="110"/>
        <v>0</v>
      </c>
      <c r="Y102" s="38">
        <f>VLOOKUP(A102,Step_II_Load_CostRecovery_Sum!$A$5:$T$117,14,FALSE)</f>
        <v>1.02</v>
      </c>
      <c r="Z102" s="167">
        <f>VLOOKUP($A102,Step_II_Load_CostRecovery_Sum!$A$5:$T$117,15,FALSE)</f>
        <v>0.47</v>
      </c>
      <c r="AA102" s="38">
        <f t="shared" si="111"/>
        <v>1</v>
      </c>
      <c r="AB102" s="167">
        <f t="shared" si="112"/>
        <v>0</v>
      </c>
      <c r="AC102" s="288">
        <f>VLOOKUP($A102,Step_II_Load_CostRecovery_Sum!$A$5:$AE$117,29,FALSE)</f>
        <v>0.13358845671267255</v>
      </c>
      <c r="AD102" s="289" t="str">
        <f>VLOOKUP($A102,Step_II_Load_CostRecovery_Sum!$A$5:$AE$117,30,FALSE)</f>
        <v>N/A</v>
      </c>
      <c r="AE102" s="290" t="str">
        <f>VLOOKUP($A102,Step_II_Load_CostRecovery_Sum!$A$5:$AE$117,31,FALSE)</f>
        <v>N/A</v>
      </c>
      <c r="AF102" s="38">
        <f t="shared" si="113"/>
        <v>0</v>
      </c>
      <c r="AG102" s="25" t="str">
        <f t="shared" si="114"/>
        <v>N/A</v>
      </c>
      <c r="AH102" s="167" t="str">
        <f t="shared" si="115"/>
        <v>N/A</v>
      </c>
      <c r="AI102" s="38">
        <f t="shared" si="116"/>
        <v>0</v>
      </c>
      <c r="AJ102" s="170" t="str">
        <f t="shared" si="117"/>
        <v>N/A</v>
      </c>
      <c r="AK102" s="25">
        <f t="shared" si="118"/>
        <v>0</v>
      </c>
      <c r="AL102" s="167">
        <f t="shared" si="119"/>
        <v>0</v>
      </c>
      <c r="AN102" s="220">
        <f t="shared" si="120"/>
        <v>1</v>
      </c>
      <c r="AO102" s="26">
        <f t="shared" si="121"/>
        <v>0</v>
      </c>
      <c r="AP102" s="209">
        <f t="shared" si="122"/>
        <v>0</v>
      </c>
      <c r="AQ102" s="38">
        <f t="shared" si="123"/>
        <v>30</v>
      </c>
      <c r="AR102" s="25">
        <f t="shared" si="124"/>
        <v>60</v>
      </c>
      <c r="AS102" s="170">
        <f t="shared" si="125"/>
        <v>0</v>
      </c>
      <c r="AT102" s="253" t="str">
        <f t="shared" si="126"/>
        <v>Local</v>
      </c>
      <c r="AU102" s="251">
        <v>3</v>
      </c>
      <c r="AV102" s="41">
        <v>5</v>
      </c>
      <c r="AW102" s="207">
        <v>6</v>
      </c>
      <c r="AX102" s="175">
        <f t="shared" si="100"/>
        <v>3</v>
      </c>
      <c r="AY102" s="41">
        <f t="shared" si="101"/>
        <v>5</v>
      </c>
      <c r="AZ102" s="207">
        <f t="shared" si="130"/>
        <v>6</v>
      </c>
      <c r="BA102" s="38">
        <f t="shared" si="127"/>
        <v>0</v>
      </c>
      <c r="BB102" s="25">
        <f t="shared" si="128"/>
        <v>0</v>
      </c>
      <c r="BC102" s="167">
        <f t="shared" si="129"/>
        <v>0</v>
      </c>
    </row>
    <row r="103" spans="1:55" ht="12.75">
      <c r="A103" t="s">
        <v>297</v>
      </c>
      <c r="B103" s="79">
        <v>100</v>
      </c>
      <c r="C103" s="5" t="s">
        <v>273</v>
      </c>
      <c r="D103" s="6" t="s">
        <v>298</v>
      </c>
      <c r="E103" s="17" t="s">
        <v>299</v>
      </c>
      <c r="F103" s="6">
        <v>209</v>
      </c>
      <c r="G103" s="67">
        <f>VLOOKUP($A103,HH_Jobs_CorridorLength!$A$2:$F$116,5,FALSE)</f>
        <v>105.03740367033508</v>
      </c>
      <c r="H103" s="62">
        <f t="shared" si="102"/>
        <v>0</v>
      </c>
      <c r="I103" s="67">
        <f>VLOOKUP($A103,HH_Jobs_CorridorLength!$A$2:$F$116,6,FALSE)</f>
        <v>356.85256488784427</v>
      </c>
      <c r="J103" s="62">
        <f t="shared" si="103"/>
        <v>0</v>
      </c>
      <c r="K103" s="319">
        <f>VLOOKUP(A103,Low_Income_Minority!$A$3:$J$115,8,FALSE)</f>
        <v>0.10995542212710019</v>
      </c>
      <c r="L103" s="60">
        <f>IF(Minority&gt;=Minority_Thrshld,Min_Pts,0)</f>
        <v>0</v>
      </c>
      <c r="M103" s="321">
        <f>VLOOKUP(A103,Low_Income_Minority!$A$3:$J$115,10,FALSE)</f>
        <v>0.3328380383707772</v>
      </c>
      <c r="N103" s="61">
        <f t="shared" si="104"/>
        <v>0</v>
      </c>
      <c r="O103" s="57" t="str">
        <f>VLOOKUP(A103,Primary_Connections_To_Centers!$A$3:$K$116,9,FALSE)</f>
        <v>Yes</v>
      </c>
      <c r="P103" s="60">
        <f t="shared" si="105"/>
        <v>5</v>
      </c>
      <c r="Q103" s="38" t="str">
        <f>VLOOKUP(A103,Primary_Connections_To_Centers!$A$3:$K$116,10,FALSE)</f>
        <v>No</v>
      </c>
      <c r="R103" s="60">
        <f t="shared" si="106"/>
        <v>0</v>
      </c>
      <c r="S103" s="65">
        <f t="shared" si="107"/>
        <v>5</v>
      </c>
      <c r="T103" s="65"/>
      <c r="U103" s="73"/>
      <c r="V103" s="64">
        <f t="shared" si="108"/>
        <v>60</v>
      </c>
      <c r="W103" s="64">
        <f t="shared" si="109"/>
        <v>60</v>
      </c>
      <c r="X103" s="64">
        <f t="shared" si="110"/>
        <v>0</v>
      </c>
      <c r="Y103" s="38">
        <f>VLOOKUP(A103,Step_II_Load_CostRecovery_Sum!$A$5:$T$117,14,FALSE)</f>
        <v>0.22</v>
      </c>
      <c r="Z103" s="167">
        <f>VLOOKUP($A103,Step_II_Load_CostRecovery_Sum!$A$5:$T$117,15,FALSE)</f>
        <v>0.25</v>
      </c>
      <c r="AA103" s="38">
        <f t="shared" si="111"/>
        <v>0</v>
      </c>
      <c r="AB103" s="167">
        <f t="shared" si="112"/>
        <v>0</v>
      </c>
      <c r="AC103" s="288">
        <f>VLOOKUP($A103,Step_II_Load_CostRecovery_Sum!$A$5:$AE$117,29,FALSE)</f>
        <v>0.0447051442910916</v>
      </c>
      <c r="AD103" s="289">
        <f>VLOOKUP($A103,Step_II_Load_CostRecovery_Sum!$A$5:$AE$117,30,FALSE)</f>
        <v>0.07070263488080301</v>
      </c>
      <c r="AE103" s="290">
        <f>VLOOKUP($A103,Step_II_Load_CostRecovery_Sum!$A$5:$AE$117,31,FALSE)</f>
        <v>0.03865589711417817</v>
      </c>
      <c r="AF103" s="38">
        <f t="shared" si="113"/>
        <v>0</v>
      </c>
      <c r="AG103" s="25">
        <f t="shared" si="114"/>
        <v>0</v>
      </c>
      <c r="AH103" s="167">
        <f t="shared" si="115"/>
        <v>0</v>
      </c>
      <c r="AI103" s="38">
        <f t="shared" si="116"/>
        <v>0</v>
      </c>
      <c r="AJ103" s="170">
        <f t="shared" si="117"/>
        <v>0</v>
      </c>
      <c r="AK103" s="25">
        <f t="shared" si="118"/>
        <v>0</v>
      </c>
      <c r="AL103" s="167">
        <f t="shared" si="119"/>
        <v>0</v>
      </c>
      <c r="AN103" s="220">
        <f t="shared" si="120"/>
        <v>0</v>
      </c>
      <c r="AO103" s="26">
        <f t="shared" si="121"/>
        <v>0</v>
      </c>
      <c r="AP103" s="209">
        <f t="shared" si="122"/>
        <v>0</v>
      </c>
      <c r="AQ103" s="38">
        <f t="shared" si="123"/>
        <v>60</v>
      </c>
      <c r="AR103" s="25">
        <f t="shared" si="124"/>
        <v>60</v>
      </c>
      <c r="AS103" s="170">
        <f t="shared" si="125"/>
        <v>0</v>
      </c>
      <c r="AT103" s="253" t="str">
        <f t="shared" si="126"/>
        <v>Hourly</v>
      </c>
      <c r="AU103" s="251">
        <v>5</v>
      </c>
      <c r="AV103" s="41">
        <v>5</v>
      </c>
      <c r="AW103" s="207">
        <v>6</v>
      </c>
      <c r="AX103" s="175">
        <f t="shared" si="100"/>
        <v>5</v>
      </c>
      <c r="AY103" s="41">
        <f t="shared" si="101"/>
        <v>5</v>
      </c>
      <c r="AZ103" s="207">
        <f t="shared" si="130"/>
        <v>6</v>
      </c>
      <c r="BA103" s="38">
        <f t="shared" si="127"/>
        <v>0</v>
      </c>
      <c r="BB103" s="25">
        <f t="shared" si="128"/>
        <v>0</v>
      </c>
      <c r="BC103" s="167">
        <f t="shared" si="129"/>
        <v>0</v>
      </c>
    </row>
    <row r="104" spans="1:55" ht="12.75">
      <c r="A104" t="s">
        <v>295</v>
      </c>
      <c r="B104" s="79">
        <v>101</v>
      </c>
      <c r="C104" s="5" t="s">
        <v>120</v>
      </c>
      <c r="D104" s="6" t="s">
        <v>213</v>
      </c>
      <c r="E104" s="17" t="s">
        <v>296</v>
      </c>
      <c r="F104" s="10">
        <v>221</v>
      </c>
      <c r="G104" s="67">
        <f>VLOOKUP($A104,HH_Jobs_CorridorLength!$A$2:$F$116,5,FALSE)</f>
        <v>701.0491779673939</v>
      </c>
      <c r="H104" s="62">
        <f t="shared" si="102"/>
        <v>0</v>
      </c>
      <c r="I104" s="67">
        <f>VLOOKUP($A104,HH_Jobs_CorridorLength!$A$2:$F$116,6,FALSE)</f>
        <v>880.6573316921257</v>
      </c>
      <c r="J104" s="62">
        <f t="shared" si="103"/>
        <v>0</v>
      </c>
      <c r="K104" s="319">
        <f>VLOOKUP(A104,Low_Income_Minority!$A$3:$J$115,8,FALSE)</f>
        <v>0.8509763609283081</v>
      </c>
      <c r="L104" s="60">
        <f>IF(Minority&gt;=Minority_Thrshld,Min_Pts,0)</f>
        <v>5</v>
      </c>
      <c r="M104" s="321">
        <f>VLOOKUP(A104,Low_Income_Minority!$A$3:$J$115,10,FALSE)</f>
        <v>0.3703323074221734</v>
      </c>
      <c r="N104" s="61">
        <f t="shared" si="104"/>
        <v>0</v>
      </c>
      <c r="O104" s="57" t="str">
        <f>VLOOKUP(A104,Primary_Connections_To_Centers!$A$3:$K$116,9,FALSE)</f>
        <v>No</v>
      </c>
      <c r="P104" s="60">
        <f t="shared" si="105"/>
        <v>0</v>
      </c>
      <c r="Q104" s="38" t="str">
        <f>VLOOKUP(A104,Primary_Connections_To_Centers!$A$3:$K$116,10,FALSE)</f>
        <v>No</v>
      </c>
      <c r="R104" s="60">
        <f t="shared" si="106"/>
        <v>0</v>
      </c>
      <c r="S104" s="65">
        <f t="shared" si="107"/>
        <v>5</v>
      </c>
      <c r="T104" s="65"/>
      <c r="U104" s="73"/>
      <c r="V104" s="64">
        <f t="shared" si="108"/>
        <v>60</v>
      </c>
      <c r="W104" s="64">
        <f t="shared" si="109"/>
        <v>60</v>
      </c>
      <c r="X104" s="64">
        <f t="shared" si="110"/>
        <v>0</v>
      </c>
      <c r="Y104" s="38">
        <f>VLOOKUP(A104,Step_II_Load_CostRecovery_Sum!$A$5:$T$117,14,FALSE)</f>
        <v>0.67</v>
      </c>
      <c r="Z104" s="167">
        <f>VLOOKUP($A104,Step_II_Load_CostRecovery_Sum!$A$5:$T$117,15,FALSE)</f>
        <v>0.38</v>
      </c>
      <c r="AA104" s="38">
        <f t="shared" si="111"/>
        <v>0</v>
      </c>
      <c r="AB104" s="167">
        <f t="shared" si="112"/>
        <v>0</v>
      </c>
      <c r="AC104" s="288">
        <f>VLOOKUP($A104,Step_II_Load_CostRecovery_Sum!$A$5:$AE$117,29,FALSE)</f>
        <v>0.27042659974905897</v>
      </c>
      <c r="AD104" s="289">
        <f>VLOOKUP($A104,Step_II_Load_CostRecovery_Sum!$A$5:$AE$117,30,FALSE)</f>
        <v>0.20780426599749058</v>
      </c>
      <c r="AE104" s="290">
        <f>VLOOKUP($A104,Step_II_Load_CostRecovery_Sum!$A$5:$AE$117,31,FALSE)</f>
        <v>0.06924247176913424</v>
      </c>
      <c r="AF104" s="38">
        <f t="shared" si="113"/>
        <v>0</v>
      </c>
      <c r="AG104" s="25">
        <f t="shared" si="114"/>
        <v>0</v>
      </c>
      <c r="AH104" s="167">
        <f t="shared" si="115"/>
        <v>0</v>
      </c>
      <c r="AI104" s="38">
        <f t="shared" si="116"/>
        <v>0</v>
      </c>
      <c r="AJ104" s="170">
        <f t="shared" si="117"/>
        <v>0</v>
      </c>
      <c r="AK104" s="25">
        <f t="shared" si="118"/>
        <v>0</v>
      </c>
      <c r="AL104" s="167">
        <f t="shared" si="119"/>
        <v>0</v>
      </c>
      <c r="AN104" s="220">
        <f t="shared" si="120"/>
        <v>0</v>
      </c>
      <c r="AO104" s="26">
        <f t="shared" si="121"/>
        <v>0</v>
      </c>
      <c r="AP104" s="209">
        <f t="shared" si="122"/>
        <v>0</v>
      </c>
      <c r="AQ104" s="38">
        <f t="shared" si="123"/>
        <v>60</v>
      </c>
      <c r="AR104" s="25">
        <f t="shared" si="124"/>
        <v>60</v>
      </c>
      <c r="AS104" s="170">
        <f t="shared" si="125"/>
        <v>0</v>
      </c>
      <c r="AT104" s="253" t="str">
        <f t="shared" si="126"/>
        <v>Hourly</v>
      </c>
      <c r="AU104" s="251">
        <v>3</v>
      </c>
      <c r="AV104" s="41">
        <v>3</v>
      </c>
      <c r="AW104" s="207">
        <v>5</v>
      </c>
      <c r="AX104" s="175">
        <f t="shared" si="100"/>
        <v>5</v>
      </c>
      <c r="AY104" s="41">
        <f t="shared" si="101"/>
        <v>5</v>
      </c>
      <c r="AZ104" s="207">
        <f t="shared" si="130"/>
        <v>6</v>
      </c>
      <c r="BA104" s="38">
        <f t="shared" si="127"/>
        <v>2</v>
      </c>
      <c r="BB104" s="25">
        <f t="shared" si="128"/>
        <v>2</v>
      </c>
      <c r="BC104" s="167">
        <f t="shared" si="129"/>
        <v>1</v>
      </c>
    </row>
    <row r="105" spans="1:55" ht="12.75">
      <c r="A105" t="s">
        <v>293</v>
      </c>
      <c r="B105" s="79">
        <v>102</v>
      </c>
      <c r="C105" s="5" t="s">
        <v>98</v>
      </c>
      <c r="D105" s="6" t="s">
        <v>222</v>
      </c>
      <c r="E105" s="17" t="s">
        <v>294</v>
      </c>
      <c r="F105" s="6">
        <v>149</v>
      </c>
      <c r="G105" s="67">
        <f>VLOOKUP($A105,HH_Jobs_CorridorLength!$A$2:$F$116,5,FALSE)</f>
        <v>144.7565346553235</v>
      </c>
      <c r="H105" s="62">
        <f t="shared" si="102"/>
        <v>0</v>
      </c>
      <c r="I105" s="67">
        <f>VLOOKUP($A105,HH_Jobs_CorridorLength!$A$2:$F$116,6,FALSE)</f>
        <v>205.65959281847609</v>
      </c>
      <c r="J105" s="62">
        <f t="shared" si="103"/>
        <v>0</v>
      </c>
      <c r="K105" s="319">
        <f>VLOOKUP(A105,Low_Income_Minority!$A$3:$J$115,8,FALSE)</f>
        <v>0.4693877534729051</v>
      </c>
      <c r="L105" s="60">
        <f>IF(Minority&gt;=Minority_Thrshld,Min_Pts,0)</f>
        <v>0</v>
      </c>
      <c r="M105" s="321">
        <f>VLOOKUP(A105,Low_Income_Minority!$A$3:$J$115,10,FALSE)</f>
        <v>0.45481049351670355</v>
      </c>
      <c r="N105" s="61">
        <f t="shared" si="104"/>
        <v>0</v>
      </c>
      <c r="O105" s="57" t="str">
        <f>VLOOKUP(A105,Primary_Connections_To_Centers!$A$3:$K$116,9,FALSE)</f>
        <v>Yes</v>
      </c>
      <c r="P105" s="60">
        <f t="shared" si="105"/>
        <v>5</v>
      </c>
      <c r="Q105" s="38" t="str">
        <f>VLOOKUP(A105,Primary_Connections_To_Centers!$A$3:$K$116,10,FALSE)</f>
        <v>No</v>
      </c>
      <c r="R105" s="60">
        <f t="shared" si="106"/>
        <v>0</v>
      </c>
      <c r="S105" s="65">
        <f t="shared" si="107"/>
        <v>5</v>
      </c>
      <c r="T105" s="65"/>
      <c r="U105" s="73"/>
      <c r="V105" s="64">
        <f t="shared" si="108"/>
        <v>60</v>
      </c>
      <c r="W105" s="64">
        <f t="shared" si="109"/>
        <v>60</v>
      </c>
      <c r="X105" s="64">
        <f t="shared" si="110"/>
        <v>0</v>
      </c>
      <c r="Y105" s="38">
        <f>VLOOKUP(A105,Step_II_Load_CostRecovery_Sum!$A$5:$T$117,14,FALSE)</f>
        <v>0.3</v>
      </c>
      <c r="Z105" s="167">
        <f>VLOOKUP($A105,Step_II_Load_CostRecovery_Sum!$A$5:$T$117,15,FALSE)</f>
        <v>0.19</v>
      </c>
      <c r="AA105" s="38">
        <f t="shared" si="111"/>
        <v>0</v>
      </c>
      <c r="AB105" s="167">
        <f t="shared" si="112"/>
        <v>0</v>
      </c>
      <c r="AC105" s="288">
        <f>VLOOKUP($A105,Step_II_Load_CostRecovery_Sum!$A$5:$AE$117,29,FALSE)</f>
        <v>0.03627352572145546</v>
      </c>
      <c r="AD105" s="289">
        <f>VLOOKUP($A105,Step_II_Load_CostRecovery_Sum!$A$5:$AE$117,30,FALSE)</f>
        <v>0.08484316185696361</v>
      </c>
      <c r="AE105" s="290" t="str">
        <f>VLOOKUP($A105,Step_II_Load_CostRecovery_Sum!$A$5:$AE$117,31,FALSE)</f>
        <v>N/A</v>
      </c>
      <c r="AF105" s="38">
        <f t="shared" si="113"/>
        <v>0</v>
      </c>
      <c r="AG105" s="25">
        <f t="shared" si="114"/>
        <v>0</v>
      </c>
      <c r="AH105" s="167" t="str">
        <f t="shared" si="115"/>
        <v>N/A</v>
      </c>
      <c r="AI105" s="38">
        <f t="shared" si="116"/>
        <v>0</v>
      </c>
      <c r="AJ105" s="170" t="str">
        <f t="shared" si="117"/>
        <v>N/A</v>
      </c>
      <c r="AK105" s="25">
        <f t="shared" si="118"/>
        <v>0</v>
      </c>
      <c r="AL105" s="167">
        <f t="shared" si="119"/>
        <v>0</v>
      </c>
      <c r="AN105" s="220">
        <f t="shared" si="120"/>
        <v>0</v>
      </c>
      <c r="AO105" s="26">
        <f t="shared" si="121"/>
        <v>0</v>
      </c>
      <c r="AP105" s="209">
        <f t="shared" si="122"/>
        <v>0</v>
      </c>
      <c r="AQ105" s="38">
        <f t="shared" si="123"/>
        <v>60</v>
      </c>
      <c r="AR105" s="25">
        <f t="shared" si="124"/>
        <v>60</v>
      </c>
      <c r="AS105" s="170">
        <f t="shared" si="125"/>
        <v>0</v>
      </c>
      <c r="AT105" s="253" t="str">
        <f t="shared" si="126"/>
        <v>Hourly</v>
      </c>
      <c r="AU105" s="251">
        <v>5</v>
      </c>
      <c r="AV105" s="41">
        <v>5</v>
      </c>
      <c r="AW105" s="207">
        <v>6</v>
      </c>
      <c r="AX105" s="175">
        <f t="shared" si="100"/>
        <v>5</v>
      </c>
      <c r="AY105" s="41">
        <f t="shared" si="101"/>
        <v>5</v>
      </c>
      <c r="AZ105" s="207">
        <f t="shared" si="130"/>
        <v>6</v>
      </c>
      <c r="BA105" s="38">
        <f t="shared" si="127"/>
        <v>0</v>
      </c>
      <c r="BB105" s="25">
        <f t="shared" si="128"/>
        <v>0</v>
      </c>
      <c r="BC105" s="167">
        <f t="shared" si="129"/>
        <v>0</v>
      </c>
    </row>
    <row r="106" spans="1:55" ht="12.75">
      <c r="A106" t="s">
        <v>241</v>
      </c>
      <c r="B106" s="79">
        <v>103</v>
      </c>
      <c r="C106" s="5" t="s">
        <v>216</v>
      </c>
      <c r="D106" s="6" t="s">
        <v>92</v>
      </c>
      <c r="E106" s="17" t="s">
        <v>242</v>
      </c>
      <c r="F106" s="6">
        <v>187</v>
      </c>
      <c r="G106" s="67">
        <f>VLOOKUP($A106,HH_Jobs_CorridorLength!$A$2:$F$116,5,FALSE)</f>
        <v>537.1577313115264</v>
      </c>
      <c r="H106" s="62">
        <f t="shared" si="102"/>
        <v>0</v>
      </c>
      <c r="I106" s="67">
        <f>VLOOKUP($A106,HH_Jobs_CorridorLength!$A$2:$F$116,6,FALSE)</f>
        <v>548.6558103168975</v>
      </c>
      <c r="J106" s="62">
        <f t="shared" si="103"/>
        <v>0</v>
      </c>
      <c r="K106" s="319">
        <f>VLOOKUP(A106,Low_Income_Minority!$A$3:$J$115,8,FALSE)</f>
        <v>0.7809765718871345</v>
      </c>
      <c r="L106" s="60">
        <f>IF(Minority&gt;=Minority_Thrshld,Min_Pts,0)</f>
        <v>5</v>
      </c>
      <c r="M106" s="321">
        <f>VLOOKUP(A106,Low_Income_Minority!$A$3:$J$115,10,FALSE)</f>
        <v>0.5554614712024579</v>
      </c>
      <c r="N106" s="61">
        <f t="shared" si="104"/>
        <v>0</v>
      </c>
      <c r="O106" s="57" t="str">
        <f>VLOOKUP(A106,Primary_Connections_To_Centers!$A$3:$K$116,9,FALSE)</f>
        <v>No</v>
      </c>
      <c r="P106" s="60">
        <f t="shared" si="105"/>
        <v>0</v>
      </c>
      <c r="Q106" s="38" t="str">
        <f>VLOOKUP(A106,Primary_Connections_To_Centers!$A$3:$K$116,10,FALSE)</f>
        <v>No</v>
      </c>
      <c r="R106" s="60">
        <f t="shared" si="106"/>
        <v>0</v>
      </c>
      <c r="S106" s="65">
        <f t="shared" si="107"/>
        <v>5</v>
      </c>
      <c r="T106" s="65"/>
      <c r="U106" s="73"/>
      <c r="V106" s="64">
        <f t="shared" si="108"/>
        <v>60</v>
      </c>
      <c r="W106" s="64">
        <f t="shared" si="109"/>
        <v>60</v>
      </c>
      <c r="X106" s="64">
        <f t="shared" si="110"/>
        <v>0</v>
      </c>
      <c r="Y106" s="38">
        <f>VLOOKUP(A106,Step_II_Load_CostRecovery_Sum!$A$5:$T$117,14,FALSE)</f>
        <v>0.83</v>
      </c>
      <c r="Z106" s="167">
        <f>VLOOKUP($A106,Step_II_Load_CostRecovery_Sum!$A$5:$T$117,15,FALSE)</f>
        <v>0.32</v>
      </c>
      <c r="AA106" s="38">
        <f t="shared" si="111"/>
        <v>1</v>
      </c>
      <c r="AB106" s="167">
        <f t="shared" si="112"/>
        <v>0</v>
      </c>
      <c r="AC106" s="288">
        <f>VLOOKUP($A106,Step_II_Load_CostRecovery_Sum!$A$5:$AE$117,29,FALSE)</f>
        <v>0.5578042659974907</v>
      </c>
      <c r="AD106" s="289">
        <f>VLOOKUP($A106,Step_II_Load_CostRecovery_Sum!$A$5:$AE$117,30,FALSE)</f>
        <v>0.25683500627352573</v>
      </c>
      <c r="AE106" s="290">
        <f>VLOOKUP($A106,Step_II_Load_CostRecovery_Sum!$A$5:$AE$117,31,FALSE)</f>
        <v>0.12680363864491842</v>
      </c>
      <c r="AF106" s="38">
        <f t="shared" si="113"/>
        <v>1</v>
      </c>
      <c r="AG106" s="25">
        <f t="shared" si="114"/>
        <v>0</v>
      </c>
      <c r="AH106" s="167">
        <f t="shared" si="115"/>
        <v>0</v>
      </c>
      <c r="AI106" s="38">
        <f t="shared" si="116"/>
        <v>0</v>
      </c>
      <c r="AJ106" s="170">
        <f t="shared" si="117"/>
        <v>60</v>
      </c>
      <c r="AK106" s="25">
        <f t="shared" si="118"/>
        <v>0</v>
      </c>
      <c r="AL106" s="167">
        <f t="shared" si="119"/>
        <v>60</v>
      </c>
      <c r="AN106" s="220">
        <f t="shared" si="120"/>
        <v>1</v>
      </c>
      <c r="AO106" s="26">
        <f t="shared" si="121"/>
        <v>0</v>
      </c>
      <c r="AP106" s="209">
        <f t="shared" si="122"/>
        <v>0</v>
      </c>
      <c r="AQ106" s="38">
        <f t="shared" si="123"/>
        <v>30</v>
      </c>
      <c r="AR106" s="25">
        <f t="shared" si="124"/>
        <v>60</v>
      </c>
      <c r="AS106" s="170">
        <f t="shared" si="125"/>
        <v>60</v>
      </c>
      <c r="AT106" s="253" t="str">
        <f t="shared" si="126"/>
        <v>Local</v>
      </c>
      <c r="AU106" s="251">
        <v>3</v>
      </c>
      <c r="AV106" s="41">
        <v>5</v>
      </c>
      <c r="AW106" s="207">
        <v>5</v>
      </c>
      <c r="AX106" s="175">
        <f aca="true" t="shared" si="131" ref="AX106:AY113">IF(AQ106="Better than 15 min",1,IF(AQ106=15,2,IF(AQ106=30,3,IF(AQ106=60,5,0))))</f>
        <v>3</v>
      </c>
      <c r="AY106" s="41">
        <f t="shared" si="131"/>
        <v>5</v>
      </c>
      <c r="AZ106" s="207">
        <f t="shared" si="130"/>
        <v>5</v>
      </c>
      <c r="BA106" s="38">
        <f t="shared" si="127"/>
        <v>0</v>
      </c>
      <c r="BB106" s="25">
        <f t="shared" si="128"/>
        <v>0</v>
      </c>
      <c r="BC106" s="167">
        <f t="shared" si="129"/>
        <v>0</v>
      </c>
    </row>
    <row r="107" spans="1:55" ht="12.75">
      <c r="A107" t="s">
        <v>291</v>
      </c>
      <c r="B107" s="79">
        <v>104</v>
      </c>
      <c r="C107" s="5" t="s">
        <v>239</v>
      </c>
      <c r="D107" s="6" t="s">
        <v>233</v>
      </c>
      <c r="E107" s="17" t="s">
        <v>292</v>
      </c>
      <c r="F107" s="7">
        <v>236</v>
      </c>
      <c r="G107" s="67">
        <f>VLOOKUP($A107,HH_Jobs_CorridorLength!$A$2:$F$116,5,FALSE)</f>
        <v>830.9748427672955</v>
      </c>
      <c r="H107" s="62">
        <f t="shared" si="102"/>
        <v>0</v>
      </c>
      <c r="I107" s="67">
        <f>VLOOKUP($A107,HH_Jobs_CorridorLength!$A$2:$F$116,6,FALSE)</f>
        <v>864.5440251572327</v>
      </c>
      <c r="J107" s="62">
        <f t="shared" si="103"/>
        <v>0</v>
      </c>
      <c r="K107" s="319">
        <f>VLOOKUP(A107,Low_Income_Minority!$A$3:$J$115,8,FALSE)</f>
        <v>0.3375931836181495</v>
      </c>
      <c r="L107" s="60">
        <f>IF(Minority&gt;=Minority_Thrshld,Min_Pts,0)</f>
        <v>0</v>
      </c>
      <c r="M107" s="321">
        <f>VLOOKUP(A107,Low_Income_Minority!$A$3:$J$115,10,FALSE)</f>
        <v>0.17518636731564485</v>
      </c>
      <c r="N107" s="61">
        <f t="shared" si="104"/>
        <v>0</v>
      </c>
      <c r="O107" s="57" t="str">
        <f>VLOOKUP(A107,Primary_Connections_To_Centers!$A$3:$K$116,9,FALSE)</f>
        <v>Yes</v>
      </c>
      <c r="P107" s="60">
        <f t="shared" si="105"/>
        <v>5</v>
      </c>
      <c r="Q107" s="38" t="str">
        <f>VLOOKUP(A107,Primary_Connections_To_Centers!$A$3:$K$116,10,FALSE)</f>
        <v>No</v>
      </c>
      <c r="R107" s="60">
        <f t="shared" si="106"/>
        <v>0</v>
      </c>
      <c r="S107" s="65">
        <f t="shared" si="107"/>
        <v>5</v>
      </c>
      <c r="T107" s="65"/>
      <c r="U107" s="73"/>
      <c r="V107" s="64">
        <f t="shared" si="108"/>
        <v>60</v>
      </c>
      <c r="W107" s="64">
        <f t="shared" si="109"/>
        <v>60</v>
      </c>
      <c r="X107" s="64">
        <f t="shared" si="110"/>
        <v>0</v>
      </c>
      <c r="Y107" s="38">
        <f>VLOOKUP(A107,Step_II_Load_CostRecovery_Sum!$A$5:$T$117,14,FALSE)</f>
        <v>0.62</v>
      </c>
      <c r="Z107" s="167">
        <f>VLOOKUP($A107,Step_II_Load_CostRecovery_Sum!$A$5:$T$117,15,FALSE)</f>
        <v>0.19</v>
      </c>
      <c r="AA107" s="38">
        <f t="shared" si="111"/>
        <v>0</v>
      </c>
      <c r="AB107" s="167">
        <f t="shared" si="112"/>
        <v>0</v>
      </c>
      <c r="AC107" s="288">
        <f>VLOOKUP($A107,Step_II_Load_CostRecovery_Sum!$A$5:$AE$117,29,FALSE)</f>
        <v>0.15651191969887077</v>
      </c>
      <c r="AD107" s="289">
        <f>VLOOKUP($A107,Step_II_Load_CostRecovery_Sum!$A$5:$AE$117,30,FALSE)</f>
        <v>0.12603513174404016</v>
      </c>
      <c r="AE107" s="290">
        <f>VLOOKUP($A107,Step_II_Load_CostRecovery_Sum!$A$5:$AE$117,31,FALSE)</f>
        <v>0.02635978670012547</v>
      </c>
      <c r="AF107" s="38">
        <f t="shared" si="113"/>
        <v>0</v>
      </c>
      <c r="AG107" s="25">
        <f t="shared" si="114"/>
        <v>0</v>
      </c>
      <c r="AH107" s="167">
        <f t="shared" si="115"/>
        <v>0</v>
      </c>
      <c r="AI107" s="38">
        <f t="shared" si="116"/>
        <v>0</v>
      </c>
      <c r="AJ107" s="170">
        <f t="shared" si="117"/>
        <v>0</v>
      </c>
      <c r="AK107" s="25">
        <f t="shared" si="118"/>
        <v>0</v>
      </c>
      <c r="AL107" s="167">
        <f t="shared" si="119"/>
        <v>0</v>
      </c>
      <c r="AN107" s="220">
        <f t="shared" si="120"/>
        <v>0</v>
      </c>
      <c r="AO107" s="26">
        <f t="shared" si="121"/>
        <v>0</v>
      </c>
      <c r="AP107" s="209">
        <f t="shared" si="122"/>
        <v>0</v>
      </c>
      <c r="AQ107" s="38">
        <f t="shared" si="123"/>
        <v>60</v>
      </c>
      <c r="AR107" s="25">
        <f t="shared" si="124"/>
        <v>60</v>
      </c>
      <c r="AS107" s="170">
        <f t="shared" si="125"/>
        <v>0</v>
      </c>
      <c r="AT107" s="253" t="str">
        <f t="shared" si="126"/>
        <v>Hourly</v>
      </c>
      <c r="AU107" s="251">
        <v>3</v>
      </c>
      <c r="AV107" s="41">
        <v>3</v>
      </c>
      <c r="AW107" s="207">
        <v>3</v>
      </c>
      <c r="AX107" s="175">
        <f t="shared" si="131"/>
        <v>5</v>
      </c>
      <c r="AY107" s="41">
        <f t="shared" si="131"/>
        <v>5</v>
      </c>
      <c r="AZ107" s="207">
        <f t="shared" si="130"/>
        <v>6</v>
      </c>
      <c r="BA107" s="38">
        <f t="shared" si="127"/>
        <v>2</v>
      </c>
      <c r="BB107" s="25">
        <f t="shared" si="128"/>
        <v>2</v>
      </c>
      <c r="BC107" s="167">
        <f t="shared" si="129"/>
        <v>3</v>
      </c>
    </row>
    <row r="108" spans="1:55" ht="12.75">
      <c r="A108" t="s">
        <v>288</v>
      </c>
      <c r="B108" s="79">
        <v>105</v>
      </c>
      <c r="C108" s="5" t="s">
        <v>289</v>
      </c>
      <c r="D108" s="6" t="s">
        <v>233</v>
      </c>
      <c r="E108" s="17" t="s">
        <v>290</v>
      </c>
      <c r="F108" s="7">
        <v>238</v>
      </c>
      <c r="G108" s="67">
        <f>VLOOKUP($A108,HH_Jobs_CorridorLength!$A$2:$F$116,5,FALSE)</f>
        <v>778.9473684210526</v>
      </c>
      <c r="H108" s="62">
        <f t="shared" si="102"/>
        <v>0</v>
      </c>
      <c r="I108" s="67">
        <f>VLOOKUP($A108,HH_Jobs_CorridorLength!$A$2:$F$116,6,FALSE)</f>
        <v>801.5323117921386</v>
      </c>
      <c r="J108" s="62">
        <f t="shared" si="103"/>
        <v>0</v>
      </c>
      <c r="K108" s="319">
        <f>VLOOKUP(A108,Low_Income_Minority!$A$3:$J$115,8,FALSE)</f>
        <v>0</v>
      </c>
      <c r="L108" s="60">
        <f>IF(Minority&gt;=Minority_Thrshld,Min_Pts,0)</f>
        <v>0</v>
      </c>
      <c r="M108" s="321">
        <f>VLOOKUP(A108,Low_Income_Minority!$A$3:$J$115,10,FALSE)</f>
        <v>0.2306717384786048</v>
      </c>
      <c r="N108" s="61">
        <f t="shared" si="104"/>
        <v>0</v>
      </c>
      <c r="O108" s="57" t="str">
        <f>VLOOKUP(A108,Primary_Connections_To_Centers!$A$3:$K$116,9,FALSE)</f>
        <v>Yes</v>
      </c>
      <c r="P108" s="60">
        <f t="shared" si="105"/>
        <v>5</v>
      </c>
      <c r="Q108" s="38" t="str">
        <f>VLOOKUP(A108,Primary_Connections_To_Centers!$A$3:$K$116,10,FALSE)</f>
        <v>No</v>
      </c>
      <c r="R108" s="60">
        <f t="shared" si="106"/>
        <v>0</v>
      </c>
      <c r="S108" s="65">
        <f t="shared" si="107"/>
        <v>5</v>
      </c>
      <c r="T108" s="65"/>
      <c r="U108" s="73"/>
      <c r="V108" s="64">
        <f t="shared" si="108"/>
        <v>60</v>
      </c>
      <c r="W108" s="64">
        <f t="shared" si="109"/>
        <v>60</v>
      </c>
      <c r="X108" s="64">
        <f t="shared" si="110"/>
        <v>0</v>
      </c>
      <c r="Y108" s="38">
        <f>VLOOKUP(A108,Step_II_Load_CostRecovery_Sum!$A$5:$T$117,14,FALSE)</f>
        <v>0.38</v>
      </c>
      <c r="Z108" s="167">
        <f>VLOOKUP($A108,Step_II_Load_CostRecovery_Sum!$A$5:$T$117,15,FALSE)</f>
        <v>0.28</v>
      </c>
      <c r="AA108" s="38">
        <f t="shared" si="111"/>
        <v>0</v>
      </c>
      <c r="AB108" s="167">
        <f t="shared" si="112"/>
        <v>0</v>
      </c>
      <c r="AC108" s="288">
        <f>VLOOKUP($A108,Step_II_Load_CostRecovery_Sum!$A$5:$AE$117,29,FALSE)</f>
        <v>0.20051442910915937</v>
      </c>
      <c r="AD108" s="289">
        <f>VLOOKUP($A108,Step_II_Load_CostRecovery_Sum!$A$5:$AE$117,30,FALSE)</f>
        <v>0.16184755332496864</v>
      </c>
      <c r="AE108" s="290">
        <f>VLOOKUP($A108,Step_II_Load_CostRecovery_Sum!$A$5:$AE$117,31,FALSE)</f>
        <v>0.03266154328732748</v>
      </c>
      <c r="AF108" s="38">
        <f t="shared" si="113"/>
        <v>0</v>
      </c>
      <c r="AG108" s="25">
        <f t="shared" si="114"/>
        <v>0</v>
      </c>
      <c r="AH108" s="167">
        <f t="shared" si="115"/>
        <v>0</v>
      </c>
      <c r="AI108" s="38">
        <f t="shared" si="116"/>
        <v>0</v>
      </c>
      <c r="AJ108" s="170">
        <f t="shared" si="117"/>
        <v>0</v>
      </c>
      <c r="AK108" s="25">
        <f t="shared" si="118"/>
        <v>0</v>
      </c>
      <c r="AL108" s="167">
        <f t="shared" si="119"/>
        <v>0</v>
      </c>
      <c r="AN108" s="220">
        <f t="shared" si="120"/>
        <v>0</v>
      </c>
      <c r="AO108" s="26">
        <f t="shared" si="121"/>
        <v>0</v>
      </c>
      <c r="AP108" s="209">
        <f t="shared" si="122"/>
        <v>0</v>
      </c>
      <c r="AQ108" s="38">
        <f t="shared" si="123"/>
        <v>60</v>
      </c>
      <c r="AR108" s="25">
        <f t="shared" si="124"/>
        <v>60</v>
      </c>
      <c r="AS108" s="170">
        <f t="shared" si="125"/>
        <v>0</v>
      </c>
      <c r="AT108" s="253" t="str">
        <f t="shared" si="126"/>
        <v>Hourly</v>
      </c>
      <c r="AU108" s="251">
        <v>3</v>
      </c>
      <c r="AV108" s="41">
        <v>3</v>
      </c>
      <c r="AW108" s="207">
        <v>5</v>
      </c>
      <c r="AX108" s="175">
        <f t="shared" si="131"/>
        <v>5</v>
      </c>
      <c r="AY108" s="41">
        <f t="shared" si="131"/>
        <v>5</v>
      </c>
      <c r="AZ108" s="207">
        <f t="shared" si="130"/>
        <v>6</v>
      </c>
      <c r="BA108" s="38">
        <f t="shared" si="127"/>
        <v>2</v>
      </c>
      <c r="BB108" s="25">
        <f t="shared" si="128"/>
        <v>2</v>
      </c>
      <c r="BC108" s="167">
        <f t="shared" si="129"/>
        <v>1</v>
      </c>
    </row>
    <row r="109" spans="1:55" ht="12.75">
      <c r="A109" t="s">
        <v>283</v>
      </c>
      <c r="B109" s="79">
        <v>106</v>
      </c>
      <c r="C109" s="5" t="s">
        <v>213</v>
      </c>
      <c r="D109" s="6" t="s">
        <v>119</v>
      </c>
      <c r="E109" s="17" t="s">
        <v>284</v>
      </c>
      <c r="F109" s="7">
        <v>222</v>
      </c>
      <c r="G109" s="67">
        <f>VLOOKUP($A109,HH_Jobs_CorridorLength!$A$2:$F$116,5,FALSE)</f>
        <v>721.3505461767627</v>
      </c>
      <c r="H109" s="62">
        <f t="shared" si="102"/>
        <v>0</v>
      </c>
      <c r="I109" s="67">
        <f>VLOOKUP($A109,HH_Jobs_CorridorLength!$A$2:$F$116,6,FALSE)</f>
        <v>2798.0139026812312</v>
      </c>
      <c r="J109" s="62">
        <f t="shared" si="103"/>
        <v>0</v>
      </c>
      <c r="K109" s="319">
        <f>VLOOKUP(A109,Low_Income_Minority!$A$3:$J$115,8,FALSE)</f>
        <v>0.8086376409385468</v>
      </c>
      <c r="L109" s="60">
        <f>IF(Minority&gt;=Minority_Thrshld,Min_Pts,0)</f>
        <v>5</v>
      </c>
      <c r="M109" s="321">
        <f>VLOOKUP(A109,Low_Income_Minority!$A$3:$J$115,10,FALSE)</f>
        <v>0.20330056168667068</v>
      </c>
      <c r="N109" s="61">
        <f t="shared" si="104"/>
        <v>0</v>
      </c>
      <c r="O109" s="57" t="str">
        <f>VLOOKUP(A109,Primary_Connections_To_Centers!$A$3:$K$116,9,FALSE)</f>
        <v>No</v>
      </c>
      <c r="P109" s="60">
        <f t="shared" si="105"/>
        <v>0</v>
      </c>
      <c r="Q109" s="38" t="str">
        <f>VLOOKUP(A109,Primary_Connections_To_Centers!$A$3:$K$116,10,FALSE)</f>
        <v>No</v>
      </c>
      <c r="R109" s="60">
        <f t="shared" si="106"/>
        <v>0</v>
      </c>
      <c r="S109" s="65">
        <f t="shared" si="107"/>
        <v>5</v>
      </c>
      <c r="T109" s="65"/>
      <c r="U109" s="73"/>
      <c r="V109" s="64">
        <f t="shared" si="108"/>
        <v>60</v>
      </c>
      <c r="W109" s="64">
        <f t="shared" si="109"/>
        <v>60</v>
      </c>
      <c r="X109" s="64">
        <f t="shared" si="110"/>
        <v>0</v>
      </c>
      <c r="Y109" s="38">
        <f>VLOOKUP(A109,Step_II_Load_CostRecovery_Sum!$A$5:$T$117,14,FALSE)</f>
        <v>0.83</v>
      </c>
      <c r="Z109" s="167">
        <f>VLOOKUP($A109,Step_II_Load_CostRecovery_Sum!$A$5:$T$117,15,FALSE)</f>
        <v>0.3</v>
      </c>
      <c r="AA109" s="38">
        <f t="shared" si="111"/>
        <v>1</v>
      </c>
      <c r="AB109" s="167">
        <f t="shared" si="112"/>
        <v>0</v>
      </c>
      <c r="AC109" s="288">
        <f>VLOOKUP($A109,Step_II_Load_CostRecovery_Sum!$A$5:$AE$117,29,FALSE)</f>
        <v>0.34148055207026357</v>
      </c>
      <c r="AD109" s="289">
        <f>VLOOKUP($A109,Step_II_Load_CostRecovery_Sum!$A$5:$AE$117,30,FALSE)</f>
        <v>0.21810225846925974</v>
      </c>
      <c r="AE109" s="290">
        <f>VLOOKUP($A109,Step_II_Load_CostRecovery_Sum!$A$5:$AE$117,31,FALSE)</f>
        <v>0.05502509410288582</v>
      </c>
      <c r="AF109" s="38">
        <f t="shared" si="113"/>
        <v>0</v>
      </c>
      <c r="AG109" s="25">
        <f t="shared" si="114"/>
        <v>0</v>
      </c>
      <c r="AH109" s="167">
        <f t="shared" si="115"/>
        <v>0</v>
      </c>
      <c r="AI109" s="38">
        <f t="shared" si="116"/>
        <v>0</v>
      </c>
      <c r="AJ109" s="170">
        <f t="shared" si="117"/>
        <v>0</v>
      </c>
      <c r="AK109" s="25">
        <f t="shared" si="118"/>
        <v>0</v>
      </c>
      <c r="AL109" s="167">
        <f t="shared" si="119"/>
        <v>0</v>
      </c>
      <c r="AN109" s="220">
        <f t="shared" si="120"/>
        <v>1</v>
      </c>
      <c r="AO109" s="26">
        <f t="shared" si="121"/>
        <v>0</v>
      </c>
      <c r="AP109" s="209">
        <f t="shared" si="122"/>
        <v>0</v>
      </c>
      <c r="AQ109" s="38">
        <f t="shared" si="123"/>
        <v>30</v>
      </c>
      <c r="AR109" s="25">
        <f t="shared" si="124"/>
        <v>60</v>
      </c>
      <c r="AS109" s="170">
        <f t="shared" si="125"/>
        <v>0</v>
      </c>
      <c r="AT109" s="253" t="str">
        <f t="shared" si="126"/>
        <v>Local</v>
      </c>
      <c r="AU109" s="251">
        <v>3</v>
      </c>
      <c r="AV109" s="41">
        <v>3</v>
      </c>
      <c r="AW109" s="207">
        <v>5</v>
      </c>
      <c r="AX109" s="175">
        <f t="shared" si="131"/>
        <v>3</v>
      </c>
      <c r="AY109" s="41">
        <f t="shared" si="131"/>
        <v>5</v>
      </c>
      <c r="AZ109" s="207">
        <f t="shared" si="130"/>
        <v>6</v>
      </c>
      <c r="BA109" s="38">
        <f t="shared" si="127"/>
        <v>0</v>
      </c>
      <c r="BB109" s="25">
        <f t="shared" si="128"/>
        <v>2</v>
      </c>
      <c r="BC109" s="167">
        <f t="shared" si="129"/>
        <v>1</v>
      </c>
    </row>
    <row r="110" spans="1:55" ht="12.75">
      <c r="A110" t="s">
        <v>279</v>
      </c>
      <c r="B110" s="79">
        <v>107</v>
      </c>
      <c r="C110" s="5" t="s">
        <v>280</v>
      </c>
      <c r="D110" s="6" t="s">
        <v>281</v>
      </c>
      <c r="E110" s="17" t="s">
        <v>282</v>
      </c>
      <c r="F110" s="7">
        <v>204</v>
      </c>
      <c r="G110" s="67">
        <f>VLOOKUP($A110,HH_Jobs_CorridorLength!$A$2:$F$116,5,FALSE)</f>
        <v>594.8091603053435</v>
      </c>
      <c r="H110" s="62">
        <f t="shared" si="102"/>
        <v>0</v>
      </c>
      <c r="I110" s="67">
        <f>VLOOKUP($A110,HH_Jobs_CorridorLength!$A$2:$F$116,6,FALSE)</f>
        <v>681.9847328244275</v>
      </c>
      <c r="J110" s="62">
        <f t="shared" si="103"/>
        <v>0</v>
      </c>
      <c r="K110" s="319">
        <f>VLOOKUP(A110,Low_Income_Minority!$A$3:$J$115,8,FALSE)</f>
        <v>0</v>
      </c>
      <c r="L110" s="60">
        <f>IF(Minority&gt;=Minority_Thrshld,Min_Pts,0)</f>
        <v>0</v>
      </c>
      <c r="M110" s="321">
        <f>VLOOKUP(A110,Low_Income_Minority!$A$3:$J$115,10,FALSE)</f>
        <v>0</v>
      </c>
      <c r="N110" s="61">
        <f t="shared" si="104"/>
        <v>0</v>
      </c>
      <c r="O110" s="57" t="str">
        <f>VLOOKUP(A110,Primary_Connections_To_Centers!$A$3:$K$116,9,FALSE)</f>
        <v>Yes</v>
      </c>
      <c r="P110" s="60">
        <f t="shared" si="105"/>
        <v>5</v>
      </c>
      <c r="Q110" s="38" t="str">
        <f>VLOOKUP(A110,Primary_Connections_To_Centers!$A$3:$K$116,10,FALSE)</f>
        <v>No</v>
      </c>
      <c r="R110" s="60">
        <f t="shared" si="106"/>
        <v>0</v>
      </c>
      <c r="S110" s="65">
        <f t="shared" si="107"/>
        <v>5</v>
      </c>
      <c r="T110" s="65"/>
      <c r="U110" s="73"/>
      <c r="V110" s="64">
        <f t="shared" si="108"/>
        <v>60</v>
      </c>
      <c r="W110" s="64">
        <f t="shared" si="109"/>
        <v>60</v>
      </c>
      <c r="X110" s="64">
        <f t="shared" si="110"/>
        <v>0</v>
      </c>
      <c r="Y110" s="38">
        <f>VLOOKUP(A110,Step_II_Load_CostRecovery_Sum!$A$5:$T$117,14,FALSE)</f>
        <v>0.61</v>
      </c>
      <c r="Z110" s="167">
        <f>VLOOKUP($A110,Step_II_Load_CostRecovery_Sum!$A$5:$T$117,15,FALSE)</f>
        <v>0.34</v>
      </c>
      <c r="AA110" s="38">
        <f t="shared" si="111"/>
        <v>0</v>
      </c>
      <c r="AB110" s="167">
        <f t="shared" si="112"/>
        <v>0</v>
      </c>
      <c r="AC110" s="288">
        <f>VLOOKUP($A110,Step_II_Load_CostRecovery_Sum!$A$5:$AE$117,29,FALSE)</f>
        <v>0.37775407779171893</v>
      </c>
      <c r="AD110" s="289">
        <f>VLOOKUP($A110,Step_II_Load_CostRecovery_Sum!$A$5:$AE$117,30,FALSE)</f>
        <v>0.18413425345043916</v>
      </c>
      <c r="AE110" s="290" t="str">
        <f>VLOOKUP($A110,Step_II_Load_CostRecovery_Sum!$A$5:$AE$117,31,FALSE)</f>
        <v>N/A</v>
      </c>
      <c r="AF110" s="38">
        <f t="shared" si="113"/>
        <v>0</v>
      </c>
      <c r="AG110" s="25">
        <f t="shared" si="114"/>
        <v>0</v>
      </c>
      <c r="AH110" s="167" t="str">
        <f t="shared" si="115"/>
        <v>N/A</v>
      </c>
      <c r="AI110" s="38">
        <f t="shared" si="116"/>
        <v>0</v>
      </c>
      <c r="AJ110" s="170" t="str">
        <f t="shared" si="117"/>
        <v>N/A</v>
      </c>
      <c r="AK110" s="25">
        <f t="shared" si="118"/>
        <v>0</v>
      </c>
      <c r="AL110" s="167">
        <f t="shared" si="119"/>
        <v>0</v>
      </c>
      <c r="AN110" s="220">
        <f t="shared" si="120"/>
        <v>0</v>
      </c>
      <c r="AO110" s="26">
        <f t="shared" si="121"/>
        <v>0</v>
      </c>
      <c r="AP110" s="209">
        <f t="shared" si="122"/>
        <v>0</v>
      </c>
      <c r="AQ110" s="38">
        <f t="shared" si="123"/>
        <v>60</v>
      </c>
      <c r="AR110" s="25">
        <f t="shared" si="124"/>
        <v>60</v>
      </c>
      <c r="AS110" s="170">
        <f t="shared" si="125"/>
        <v>0</v>
      </c>
      <c r="AT110" s="253" t="str">
        <f t="shared" si="126"/>
        <v>Hourly</v>
      </c>
      <c r="AU110" s="251">
        <v>3</v>
      </c>
      <c r="AV110" s="41">
        <v>3</v>
      </c>
      <c r="AW110" s="207">
        <v>6</v>
      </c>
      <c r="AX110" s="175">
        <f t="shared" si="131"/>
        <v>5</v>
      </c>
      <c r="AY110" s="41">
        <f t="shared" si="131"/>
        <v>5</v>
      </c>
      <c r="AZ110" s="207">
        <f t="shared" si="130"/>
        <v>6</v>
      </c>
      <c r="BA110" s="38">
        <f t="shared" si="127"/>
        <v>2</v>
      </c>
      <c r="BB110" s="25">
        <f t="shared" si="128"/>
        <v>2</v>
      </c>
      <c r="BC110" s="167">
        <f t="shared" si="129"/>
        <v>0</v>
      </c>
    </row>
    <row r="111" spans="1:55" ht="12.75">
      <c r="A111" t="s">
        <v>224</v>
      </c>
      <c r="B111" s="79">
        <v>108</v>
      </c>
      <c r="C111" s="5" t="s">
        <v>189</v>
      </c>
      <c r="D111" s="6" t="s">
        <v>225</v>
      </c>
      <c r="E111" s="17" t="s">
        <v>226</v>
      </c>
      <c r="F111" s="10">
        <v>331</v>
      </c>
      <c r="G111" s="67">
        <f>VLOOKUP($A111,HH_Jobs_CorridorLength!$A$2:$F$116,5,FALSE)</f>
        <v>630.5834312682506</v>
      </c>
      <c r="H111" s="62">
        <f t="shared" si="102"/>
        <v>0</v>
      </c>
      <c r="I111" s="67">
        <f>VLOOKUP($A111,HH_Jobs_CorridorLength!$A$2:$F$116,6,FALSE)</f>
        <v>509.7794902080782</v>
      </c>
      <c r="J111" s="62">
        <f t="shared" si="103"/>
        <v>0</v>
      </c>
      <c r="K111" s="319">
        <f>VLOOKUP(A111,Low_Income_Minority!$A$3:$J$115,8,FALSE)</f>
        <v>0.31943580378625264</v>
      </c>
      <c r="L111" s="60">
        <f>IF(Minority&gt;=Minority_Thrshld,Min_Pts,0)</f>
        <v>0</v>
      </c>
      <c r="M111" s="321">
        <f>VLOOKUP(A111,Low_Income_Minority!$A$3:$J$115,10,FALSE)</f>
        <v>0.204521883908221</v>
      </c>
      <c r="N111" s="61">
        <f t="shared" si="104"/>
        <v>0</v>
      </c>
      <c r="O111" s="57" t="str">
        <f>VLOOKUP(A111,Primary_Connections_To_Centers!$A$3:$K$116,9,FALSE)</f>
        <v>Yes</v>
      </c>
      <c r="P111" s="60">
        <f t="shared" si="105"/>
        <v>5</v>
      </c>
      <c r="Q111" s="38" t="str">
        <f>VLOOKUP(A111,Primary_Connections_To_Centers!$A$3:$K$116,10,FALSE)</f>
        <v>No</v>
      </c>
      <c r="R111" s="60">
        <f t="shared" si="106"/>
        <v>0</v>
      </c>
      <c r="S111" s="65">
        <f t="shared" si="107"/>
        <v>5</v>
      </c>
      <c r="T111" s="65"/>
      <c r="U111" s="73"/>
      <c r="V111" s="64">
        <f t="shared" si="108"/>
        <v>60</v>
      </c>
      <c r="W111" s="64">
        <f t="shared" si="109"/>
        <v>60</v>
      </c>
      <c r="X111" s="64">
        <f t="shared" si="110"/>
        <v>0</v>
      </c>
      <c r="Y111" s="38">
        <f>VLOOKUP(A111,Step_II_Load_CostRecovery_Sum!$A$5:$T$117,14,FALSE)</f>
        <v>1.97</v>
      </c>
      <c r="Z111" s="167">
        <f>VLOOKUP($A111,Step_II_Load_CostRecovery_Sum!$A$5:$T$117,15,FALSE)</f>
        <v>1.18</v>
      </c>
      <c r="AA111" s="38">
        <f t="shared" si="111"/>
        <v>2</v>
      </c>
      <c r="AB111" s="167">
        <f t="shared" si="112"/>
        <v>1</v>
      </c>
      <c r="AC111" s="288">
        <f>VLOOKUP($A111,Step_II_Load_CostRecovery_Sum!$A$5:$AE$117,29,FALSE)</f>
        <v>0.36422835633626105</v>
      </c>
      <c r="AD111" s="289">
        <f>VLOOKUP($A111,Step_II_Load_CostRecovery_Sum!$A$5:$AE$117,30,FALSE)</f>
        <v>0.3882496863237139</v>
      </c>
      <c r="AE111" s="290">
        <f>VLOOKUP($A111,Step_II_Load_CostRecovery_Sum!$A$5:$AE$117,31,FALSE)</f>
        <v>0.09106806775407779</v>
      </c>
      <c r="AF111" s="38">
        <f t="shared" si="113"/>
        <v>0</v>
      </c>
      <c r="AG111" s="25">
        <f t="shared" si="114"/>
        <v>0</v>
      </c>
      <c r="AH111" s="167">
        <f t="shared" si="115"/>
        <v>0</v>
      </c>
      <c r="AI111" s="38">
        <f t="shared" si="116"/>
        <v>0</v>
      </c>
      <c r="AJ111" s="170">
        <f t="shared" si="117"/>
        <v>60</v>
      </c>
      <c r="AK111" s="25">
        <f t="shared" si="118"/>
        <v>30</v>
      </c>
      <c r="AL111" s="167">
        <f t="shared" si="119"/>
        <v>30</v>
      </c>
      <c r="AN111" s="220">
        <f t="shared" si="120"/>
        <v>2</v>
      </c>
      <c r="AO111" s="26">
        <f t="shared" si="121"/>
        <v>1</v>
      </c>
      <c r="AP111" s="209">
        <f t="shared" si="122"/>
        <v>0</v>
      </c>
      <c r="AQ111" s="38">
        <f t="shared" si="123"/>
        <v>15</v>
      </c>
      <c r="AR111" s="25">
        <f t="shared" si="124"/>
        <v>30</v>
      </c>
      <c r="AS111" s="170">
        <f t="shared" si="125"/>
        <v>30</v>
      </c>
      <c r="AT111" s="253" t="str">
        <f t="shared" si="126"/>
        <v>Frequent</v>
      </c>
      <c r="AU111" s="251">
        <v>3</v>
      </c>
      <c r="AV111" s="41">
        <v>3</v>
      </c>
      <c r="AW111" s="207">
        <v>5</v>
      </c>
      <c r="AX111" s="175">
        <f t="shared" si="131"/>
        <v>2</v>
      </c>
      <c r="AY111" s="41">
        <f t="shared" si="131"/>
        <v>3</v>
      </c>
      <c r="AZ111" s="207">
        <f t="shared" si="130"/>
        <v>3</v>
      </c>
      <c r="BA111" s="38">
        <f t="shared" si="127"/>
        <v>-1</v>
      </c>
      <c r="BB111" s="25">
        <f t="shared" si="128"/>
        <v>0</v>
      </c>
      <c r="BC111" s="167">
        <f t="shared" si="129"/>
        <v>-2</v>
      </c>
    </row>
    <row r="112" spans="1:55" ht="12.75">
      <c r="A112" t="s">
        <v>277</v>
      </c>
      <c r="B112" s="79">
        <v>109</v>
      </c>
      <c r="C112" s="5" t="s">
        <v>189</v>
      </c>
      <c r="D112" s="6" t="s">
        <v>233</v>
      </c>
      <c r="E112" s="17" t="s">
        <v>278</v>
      </c>
      <c r="F112" s="10">
        <v>234</v>
      </c>
      <c r="G112" s="67">
        <f>VLOOKUP($A112,HH_Jobs_CorridorLength!$A$2:$F$116,5,FALSE)</f>
        <v>898.9435068023892</v>
      </c>
      <c r="H112" s="62">
        <f t="shared" si="102"/>
        <v>0</v>
      </c>
      <c r="I112" s="67">
        <f>VLOOKUP($A112,HH_Jobs_CorridorLength!$A$2:$F$116,6,FALSE)</f>
        <v>661.8583223793479</v>
      </c>
      <c r="J112" s="62">
        <f t="shared" si="103"/>
        <v>0</v>
      </c>
      <c r="K112" s="319">
        <f>VLOOKUP(A112,Low_Income_Minority!$A$3:$J$115,8,FALSE)</f>
        <v>0.09263491005776159</v>
      </c>
      <c r="L112" s="60">
        <f>IF(Minority&gt;=Minority_Thrshld,Min_Pts,0)</f>
        <v>0</v>
      </c>
      <c r="M112" s="321">
        <f>VLOOKUP(A112,Low_Income_Minority!$A$3:$J$115,10,FALSE)</f>
        <v>0</v>
      </c>
      <c r="N112" s="61">
        <f t="shared" si="104"/>
        <v>0</v>
      </c>
      <c r="O112" s="57" t="str">
        <f>VLOOKUP(A112,Primary_Connections_To_Centers!$A$3:$K$116,9,FALSE)</f>
        <v>Yes</v>
      </c>
      <c r="P112" s="60">
        <f t="shared" si="105"/>
        <v>5</v>
      </c>
      <c r="Q112" s="38" t="str">
        <f>VLOOKUP(A112,Primary_Connections_To_Centers!$A$3:$K$116,10,FALSE)</f>
        <v>No</v>
      </c>
      <c r="R112" s="60">
        <f t="shared" si="106"/>
        <v>0</v>
      </c>
      <c r="S112" s="65">
        <f t="shared" si="107"/>
        <v>5</v>
      </c>
      <c r="T112" s="65"/>
      <c r="U112" s="73"/>
      <c r="V112" s="64">
        <f t="shared" si="108"/>
        <v>60</v>
      </c>
      <c r="W112" s="64">
        <f t="shared" si="109"/>
        <v>60</v>
      </c>
      <c r="X112" s="64">
        <f t="shared" si="110"/>
        <v>0</v>
      </c>
      <c r="Y112" s="38">
        <f>VLOOKUP(A112,Step_II_Load_CostRecovery_Sum!$A$5:$T$117,14,FALSE)</f>
        <v>1.21</v>
      </c>
      <c r="Z112" s="167">
        <f>VLOOKUP($A112,Step_II_Load_CostRecovery_Sum!$A$5:$T$117,15,FALSE)</f>
        <v>0.48</v>
      </c>
      <c r="AA112" s="38">
        <f t="shared" si="111"/>
        <v>1</v>
      </c>
      <c r="AB112" s="167">
        <f t="shared" si="112"/>
        <v>0</v>
      </c>
      <c r="AC112" s="288">
        <f>VLOOKUP($A112,Step_II_Load_CostRecovery_Sum!$A$5:$AE$117,29,FALSE)</f>
        <v>0.26181932245922207</v>
      </c>
      <c r="AD112" s="289">
        <f>VLOOKUP($A112,Step_II_Load_CostRecovery_Sum!$A$5:$AE$117,30,FALSE)</f>
        <v>0.24069636135508157</v>
      </c>
      <c r="AE112" s="290">
        <f>VLOOKUP($A112,Step_II_Load_CostRecovery_Sum!$A$5:$AE$117,31,FALSE)</f>
        <v>0.06832026348808032</v>
      </c>
      <c r="AF112" s="38">
        <f t="shared" si="113"/>
        <v>0</v>
      </c>
      <c r="AG112" s="25">
        <f t="shared" si="114"/>
        <v>0</v>
      </c>
      <c r="AH112" s="167">
        <f t="shared" si="115"/>
        <v>0</v>
      </c>
      <c r="AI112" s="38">
        <f t="shared" si="116"/>
        <v>0</v>
      </c>
      <c r="AJ112" s="170">
        <f t="shared" si="117"/>
        <v>0</v>
      </c>
      <c r="AK112" s="25">
        <f t="shared" si="118"/>
        <v>0</v>
      </c>
      <c r="AL112" s="167">
        <f t="shared" si="119"/>
        <v>0</v>
      </c>
      <c r="AN112" s="220">
        <f t="shared" si="120"/>
        <v>1</v>
      </c>
      <c r="AO112" s="26">
        <f t="shared" si="121"/>
        <v>0</v>
      </c>
      <c r="AP112" s="209">
        <f t="shared" si="122"/>
        <v>0</v>
      </c>
      <c r="AQ112" s="38">
        <f t="shared" si="123"/>
        <v>30</v>
      </c>
      <c r="AR112" s="25">
        <f t="shared" si="124"/>
        <v>60</v>
      </c>
      <c r="AS112" s="170">
        <f t="shared" si="125"/>
        <v>0</v>
      </c>
      <c r="AT112" s="253" t="str">
        <f t="shared" si="126"/>
        <v>Local</v>
      </c>
      <c r="AU112" s="251">
        <v>3</v>
      </c>
      <c r="AV112" s="41">
        <v>3</v>
      </c>
      <c r="AW112" s="207">
        <v>5</v>
      </c>
      <c r="AX112" s="175">
        <f t="shared" si="131"/>
        <v>3</v>
      </c>
      <c r="AY112" s="41">
        <f t="shared" si="131"/>
        <v>5</v>
      </c>
      <c r="AZ112" s="207">
        <f t="shared" si="130"/>
        <v>6</v>
      </c>
      <c r="BA112" s="38">
        <f t="shared" si="127"/>
        <v>0</v>
      </c>
      <c r="BB112" s="25">
        <f t="shared" si="128"/>
        <v>2</v>
      </c>
      <c r="BC112" s="167">
        <f t="shared" si="129"/>
        <v>1</v>
      </c>
    </row>
    <row r="113" spans="1:55" ht="12.75">
      <c r="A113" t="s">
        <v>272</v>
      </c>
      <c r="B113" s="79">
        <v>110</v>
      </c>
      <c r="C113" s="5" t="s">
        <v>273</v>
      </c>
      <c r="D113" s="6" t="s">
        <v>213</v>
      </c>
      <c r="E113" s="17" t="s">
        <v>274</v>
      </c>
      <c r="F113" s="10">
        <v>271</v>
      </c>
      <c r="G113" s="67">
        <f>VLOOKUP($A113,HH_Jobs_CorridorLength!$A$2:$F$116,5,FALSE)</f>
        <v>227.368818011995</v>
      </c>
      <c r="H113" s="62">
        <f t="shared" si="102"/>
        <v>0</v>
      </c>
      <c r="I113" s="67">
        <f>VLOOKUP($A113,HH_Jobs_CorridorLength!$A$2:$F$116,6,FALSE)</f>
        <v>880.7032919909065</v>
      </c>
      <c r="J113" s="62">
        <f t="shared" si="103"/>
        <v>0</v>
      </c>
      <c r="K113" s="319">
        <f>VLOOKUP(A113,Low_Income_Minority!$A$3:$J$115,8,FALSE)</f>
        <v>0.8231545163308348</v>
      </c>
      <c r="L113" s="60">
        <f>IF(Minority&gt;=Minority_Thrshld,Min_Pts,0)</f>
        <v>5</v>
      </c>
      <c r="M113" s="321">
        <f>VLOOKUP(A113,Low_Income_Minority!$A$3:$J$115,10,FALSE)</f>
        <v>0.4065566221983646</v>
      </c>
      <c r="N113" s="61">
        <f t="shared" si="104"/>
        <v>0</v>
      </c>
      <c r="O113" s="57" t="str">
        <f>VLOOKUP(A113,Primary_Connections_To_Centers!$A$3:$K$116,9,FALSE)</f>
        <v>No</v>
      </c>
      <c r="P113" s="60">
        <f t="shared" si="105"/>
        <v>0</v>
      </c>
      <c r="Q113" s="38" t="str">
        <f>VLOOKUP(A113,Primary_Connections_To_Centers!$A$3:$K$116,10,FALSE)</f>
        <v>No</v>
      </c>
      <c r="R113" s="60">
        <f t="shared" si="106"/>
        <v>0</v>
      </c>
      <c r="S113" s="65">
        <f t="shared" si="107"/>
        <v>5</v>
      </c>
      <c r="T113" s="65"/>
      <c r="U113" s="73"/>
      <c r="V113" s="64">
        <f t="shared" si="108"/>
        <v>60</v>
      </c>
      <c r="W113" s="64">
        <f t="shared" si="109"/>
        <v>60</v>
      </c>
      <c r="X113" s="64">
        <f t="shared" si="110"/>
        <v>0</v>
      </c>
      <c r="Y113" s="342">
        <f>VLOOKUP(A113,Step_II_Load_CostRecovery_Sum!$A$5:$T$117,14,FALSE)</f>
        <v>0.59</v>
      </c>
      <c r="Z113" s="167">
        <f>VLOOKUP($A113,Step_II_Load_CostRecovery_Sum!$A$5:$T$117,15,FALSE)</f>
        <v>0.69</v>
      </c>
      <c r="AA113" s="38">
        <f t="shared" si="111"/>
        <v>0</v>
      </c>
      <c r="AB113" s="167">
        <f t="shared" si="112"/>
        <v>0</v>
      </c>
      <c r="AC113" s="288">
        <f>VLOOKUP($A113,Step_II_Load_CostRecovery_Sum!$A$5:$AE$117,29,FALSE)</f>
        <v>0.25374058971141783</v>
      </c>
      <c r="AD113" s="289">
        <f>VLOOKUP($A113,Step_II_Load_CostRecovery_Sum!$A$5:$AE$117,30,FALSE)</f>
        <v>0.14763017565872022</v>
      </c>
      <c r="AE113" s="290">
        <f>VLOOKUP($A113,Step_II_Load_CostRecovery_Sum!$A$5:$AE$117,31,FALSE)</f>
        <v>0.08622647427854455</v>
      </c>
      <c r="AF113" s="38">
        <f t="shared" si="113"/>
        <v>0</v>
      </c>
      <c r="AG113" s="25">
        <f t="shared" si="114"/>
        <v>0</v>
      </c>
      <c r="AH113" s="167">
        <f t="shared" si="115"/>
        <v>0</v>
      </c>
      <c r="AI113" s="38">
        <f t="shared" si="116"/>
        <v>0</v>
      </c>
      <c r="AJ113" s="170">
        <f t="shared" si="117"/>
        <v>60</v>
      </c>
      <c r="AK113" s="25">
        <f t="shared" si="118"/>
        <v>0</v>
      </c>
      <c r="AL113" s="167">
        <f t="shared" si="119"/>
        <v>60</v>
      </c>
      <c r="AN113" s="220">
        <f t="shared" si="120"/>
        <v>0</v>
      </c>
      <c r="AO113" s="26">
        <f t="shared" si="121"/>
        <v>0</v>
      </c>
      <c r="AP113" s="209">
        <f t="shared" si="122"/>
        <v>0</v>
      </c>
      <c r="AQ113" s="38">
        <f t="shared" si="123"/>
        <v>60</v>
      </c>
      <c r="AR113" s="25">
        <f t="shared" si="124"/>
        <v>60</v>
      </c>
      <c r="AS113" s="170">
        <f t="shared" si="125"/>
        <v>60</v>
      </c>
      <c r="AT113" s="253" t="str">
        <f t="shared" si="126"/>
        <v>Hourly</v>
      </c>
      <c r="AU113" s="251">
        <v>3</v>
      </c>
      <c r="AV113" s="41">
        <v>3</v>
      </c>
      <c r="AW113" s="207">
        <v>5</v>
      </c>
      <c r="AX113" s="175">
        <f t="shared" si="131"/>
        <v>5</v>
      </c>
      <c r="AY113" s="41">
        <f t="shared" si="131"/>
        <v>5</v>
      </c>
      <c r="AZ113" s="207">
        <f t="shared" si="130"/>
        <v>5</v>
      </c>
      <c r="BA113" s="38">
        <f t="shared" si="127"/>
        <v>2</v>
      </c>
      <c r="BB113" s="25">
        <f t="shared" si="128"/>
        <v>2</v>
      </c>
      <c r="BC113" s="167">
        <f t="shared" si="129"/>
        <v>0</v>
      </c>
    </row>
    <row r="114" spans="1:55" s="21" customFormat="1" ht="12.75">
      <c r="A114" t="s">
        <v>266</v>
      </c>
      <c r="B114" s="79">
        <v>111</v>
      </c>
      <c r="C114" s="5" t="s">
        <v>17</v>
      </c>
      <c r="D114" s="6" t="s">
        <v>267</v>
      </c>
      <c r="E114" s="17" t="s">
        <v>268</v>
      </c>
      <c r="F114" s="6">
        <v>28</v>
      </c>
      <c r="G114" s="67">
        <f>VLOOKUP($A114,HH_Jobs_CorridorLength!$A$2:$F$116,5,FALSE)</f>
        <v>1334.3113663077118</v>
      </c>
      <c r="H114" s="62">
        <f t="shared" si="102"/>
        <v>4</v>
      </c>
      <c r="I114" s="67">
        <f>VLOOKUP($A114,HH_Jobs_CorridorLength!$A$2:$F$116,6,FALSE)</f>
        <v>1271.4454522783915</v>
      </c>
      <c r="J114" s="62">
        <f t="shared" si="103"/>
        <v>0</v>
      </c>
      <c r="K114" s="319">
        <f>VLOOKUP(A114,Low_Income_Minority!$A$3:$J$115,8,FALSE)</f>
        <v>0.030382331730082705</v>
      </c>
      <c r="L114" s="60">
        <f>IF(Minority&gt;=Minority_Thrshld,Min_Pts,0)</f>
        <v>0</v>
      </c>
      <c r="M114" s="321">
        <f>VLOOKUP(A114,Low_Income_Minority!$A$3:$J$115,10,FALSE)</f>
        <v>0.11393374606243566</v>
      </c>
      <c r="N114" s="61">
        <f t="shared" si="104"/>
        <v>0</v>
      </c>
      <c r="O114" s="57" t="str">
        <f>VLOOKUP(A114,Primary_Connections_To_Centers!$A$3:$K$116,9,FALSE)</f>
        <v>No</v>
      </c>
      <c r="P114" s="60">
        <f t="shared" si="105"/>
        <v>0</v>
      </c>
      <c r="Q114" s="38" t="str">
        <f>VLOOKUP(A114,Primary_Connections_To_Centers!$A$3:$K$116,10,FALSE)</f>
        <v>No</v>
      </c>
      <c r="R114" s="60">
        <f t="shared" si="106"/>
        <v>0</v>
      </c>
      <c r="S114" s="65">
        <f t="shared" si="107"/>
        <v>4</v>
      </c>
      <c r="T114" s="65"/>
      <c r="U114" s="73"/>
      <c r="V114" s="64">
        <f t="shared" si="108"/>
        <v>60</v>
      </c>
      <c r="W114" s="64">
        <f t="shared" si="109"/>
        <v>60</v>
      </c>
      <c r="X114" s="64">
        <f t="shared" si="110"/>
        <v>0</v>
      </c>
      <c r="Y114" s="38">
        <f>VLOOKUP(A114,Step_II_Load_CostRecovery_Sum!$A$5:$T$117,14,FALSE)</f>
        <v>0.26</v>
      </c>
      <c r="Z114" s="167">
        <f>VLOOKUP($A114,Step_II_Load_CostRecovery_Sum!$A$5:$T$117,15,FALSE)</f>
        <v>0.48</v>
      </c>
      <c r="AA114" s="38">
        <f t="shared" si="111"/>
        <v>0</v>
      </c>
      <c r="AB114" s="167">
        <f t="shared" si="112"/>
        <v>0</v>
      </c>
      <c r="AC114" s="288">
        <f>VLOOKUP($A114,Step_II_Load_CostRecovery_Sum!$A$5:$AE$117,29,FALSE)</f>
        <v>0.4012045169385195</v>
      </c>
      <c r="AD114" s="289" t="str">
        <f>VLOOKUP($A114,Step_II_Load_CostRecovery_Sum!$A$5:$AE$117,30,FALSE)</f>
        <v>N/A</v>
      </c>
      <c r="AE114" s="290" t="str">
        <f>VLOOKUP($A114,Step_II_Load_CostRecovery_Sum!$A$5:$AE$117,31,FALSE)</f>
        <v>N/A</v>
      </c>
      <c r="AF114" s="38">
        <f t="shared" si="113"/>
        <v>0</v>
      </c>
      <c r="AG114" s="25" t="str">
        <f t="shared" si="114"/>
        <v>N/A</v>
      </c>
      <c r="AH114" s="167" t="str">
        <f t="shared" si="115"/>
        <v>N/A</v>
      </c>
      <c r="AI114" s="38">
        <f t="shared" si="116"/>
        <v>0</v>
      </c>
      <c r="AJ114" s="170" t="str">
        <f t="shared" si="117"/>
        <v>N/A</v>
      </c>
      <c r="AK114" s="25">
        <f t="shared" si="118"/>
        <v>0</v>
      </c>
      <c r="AL114" s="167">
        <f t="shared" si="119"/>
        <v>0</v>
      </c>
      <c r="AM114"/>
      <c r="AN114" s="220">
        <f t="shared" si="120"/>
        <v>0</v>
      </c>
      <c r="AO114" s="26">
        <f t="shared" si="121"/>
        <v>0</v>
      </c>
      <c r="AP114" s="209">
        <f t="shared" si="122"/>
        <v>0</v>
      </c>
      <c r="AQ114" s="38">
        <f t="shared" si="123"/>
        <v>60</v>
      </c>
      <c r="AR114" s="25">
        <f t="shared" si="124"/>
        <v>60</v>
      </c>
      <c r="AS114" s="170">
        <f t="shared" si="125"/>
        <v>0</v>
      </c>
      <c r="AT114" s="253" t="str">
        <f t="shared" si="126"/>
        <v>Hourly</v>
      </c>
      <c r="AU114" s="251">
        <v>3</v>
      </c>
      <c r="AV114" s="41">
        <v>3</v>
      </c>
      <c r="AW114" s="207">
        <v>3</v>
      </c>
      <c r="AX114" s="175">
        <f>IF(AQ114="Better than 15 min",1,IF(AQ114=15,2,IF(AQ114=30,3,IF(AQ114=60,5,6))))</f>
        <v>5</v>
      </c>
      <c r="AY114" s="41">
        <f>IF(AR114="Better than 15 min",1,IF(AR114=15,2,IF(AR114=30,3,IF(AR114=60,5,6))))</f>
        <v>5</v>
      </c>
      <c r="AZ114" s="207">
        <f t="shared" si="130"/>
        <v>6</v>
      </c>
      <c r="BA114" s="38">
        <f t="shared" si="127"/>
        <v>2</v>
      </c>
      <c r="BB114" s="25">
        <f t="shared" si="128"/>
        <v>2</v>
      </c>
      <c r="BC114" s="167">
        <f t="shared" si="129"/>
        <v>3</v>
      </c>
    </row>
    <row r="115" spans="1:55" ht="12.75">
      <c r="A115" t="s">
        <v>192</v>
      </c>
      <c r="B115" s="79">
        <v>112</v>
      </c>
      <c r="C115" s="5" t="s">
        <v>193</v>
      </c>
      <c r="D115" s="6" t="s">
        <v>86</v>
      </c>
      <c r="E115" s="17" t="s">
        <v>194</v>
      </c>
      <c r="F115" s="7">
        <v>347</v>
      </c>
      <c r="G115" s="67">
        <f>VLOOKUP($A115,HH_Jobs_CorridorLength!$A$2:$F$116,5,FALSE)</f>
        <v>1087.2687704026116</v>
      </c>
      <c r="H115" s="62">
        <f t="shared" si="102"/>
        <v>4</v>
      </c>
      <c r="I115" s="67">
        <f>VLOOKUP($A115,HH_Jobs_CorridorLength!$A$2:$F$116,6,FALSE)</f>
        <v>988.792165397171</v>
      </c>
      <c r="J115" s="62">
        <f t="shared" si="103"/>
        <v>0</v>
      </c>
      <c r="K115" s="319">
        <f>VLOOKUP(A115,Low_Income_Minority!$A$3:$J$115,8,FALSE)</f>
        <v>0.46507911131636026</v>
      </c>
      <c r="L115" s="60">
        <f>IF(Minority&gt;=Minority_Thrshld,Min_Pts,0)</f>
        <v>0</v>
      </c>
      <c r="M115" s="321">
        <f>VLOOKUP(A115,Low_Income_Minority!$A$3:$J$115,10,FALSE)</f>
        <v>0.3313089338947838</v>
      </c>
      <c r="N115" s="61">
        <f t="shared" si="104"/>
        <v>0</v>
      </c>
      <c r="O115" s="57" t="str">
        <f>VLOOKUP(A115,Primary_Connections_To_Centers!$A$3:$K$116,9,FALSE)</f>
        <v>No</v>
      </c>
      <c r="P115" s="60">
        <f t="shared" si="105"/>
        <v>0</v>
      </c>
      <c r="Q115" s="38" t="str">
        <f>VLOOKUP(A115,Primary_Connections_To_Centers!$A$3:$K$116,10,FALSE)</f>
        <v>No</v>
      </c>
      <c r="R115" s="60">
        <f t="shared" si="106"/>
        <v>0</v>
      </c>
      <c r="S115" s="65">
        <f t="shared" si="107"/>
        <v>4</v>
      </c>
      <c r="T115" s="65"/>
      <c r="U115" s="73"/>
      <c r="V115" s="64">
        <f t="shared" si="108"/>
        <v>60</v>
      </c>
      <c r="W115" s="64">
        <f t="shared" si="109"/>
        <v>60</v>
      </c>
      <c r="X115" s="64">
        <f t="shared" si="110"/>
        <v>0</v>
      </c>
      <c r="Y115" s="38">
        <f>VLOOKUP(A115,Step_II_Load_CostRecovery_Sum!$A$5:$T$117,14,FALSE)</f>
        <v>1.28</v>
      </c>
      <c r="Z115" s="167">
        <f>VLOOKUP($A115,Step_II_Load_CostRecovery_Sum!$A$5:$T$117,15,FALSE)</f>
        <v>0.85</v>
      </c>
      <c r="AA115" s="38">
        <f t="shared" si="111"/>
        <v>1</v>
      </c>
      <c r="AB115" s="167">
        <f t="shared" si="112"/>
        <v>1</v>
      </c>
      <c r="AC115" s="288">
        <f>VLOOKUP($A115,Step_II_Load_CostRecovery_Sum!$A$5:$AE$117,29,FALSE)</f>
        <v>0.6491844416562108</v>
      </c>
      <c r="AD115" s="289">
        <f>VLOOKUP($A115,Step_II_Load_CostRecovery_Sum!$A$5:$AE$117,30,FALSE)</f>
        <v>0.4286731493099122</v>
      </c>
      <c r="AE115" s="290">
        <f>VLOOKUP($A115,Step_II_Load_CostRecovery_Sum!$A$5:$AE$117,31,FALSE)</f>
        <v>0.14663111668757842</v>
      </c>
      <c r="AF115" s="38">
        <f t="shared" si="113"/>
        <v>1</v>
      </c>
      <c r="AG115" s="25">
        <f t="shared" si="114"/>
        <v>0</v>
      </c>
      <c r="AH115" s="167">
        <f t="shared" si="115"/>
        <v>0</v>
      </c>
      <c r="AI115" s="38">
        <f t="shared" si="116"/>
        <v>0</v>
      </c>
      <c r="AJ115" s="170">
        <f t="shared" si="117"/>
        <v>60</v>
      </c>
      <c r="AK115" s="25">
        <f t="shared" si="118"/>
        <v>0</v>
      </c>
      <c r="AL115" s="167">
        <f t="shared" si="119"/>
        <v>60</v>
      </c>
      <c r="AN115" s="220">
        <f t="shared" si="120"/>
        <v>1</v>
      </c>
      <c r="AO115" s="26">
        <f t="shared" si="121"/>
        <v>1</v>
      </c>
      <c r="AP115" s="209">
        <f t="shared" si="122"/>
        <v>0</v>
      </c>
      <c r="AQ115" s="38">
        <f t="shared" si="123"/>
        <v>30</v>
      </c>
      <c r="AR115" s="25">
        <f t="shared" si="124"/>
        <v>30</v>
      </c>
      <c r="AS115" s="170">
        <f t="shared" si="125"/>
        <v>60</v>
      </c>
      <c r="AT115" s="253" t="str">
        <f t="shared" si="126"/>
        <v>Local</v>
      </c>
      <c r="AU115" s="251">
        <v>3</v>
      </c>
      <c r="AV115" s="41">
        <v>3</v>
      </c>
      <c r="AW115" s="207">
        <v>5</v>
      </c>
      <c r="AX115" s="175">
        <f>IF(AQ115="Better than 15 min",1,IF(AQ115=15,2,IF(AQ115=30,3,IF(AQ115=60,5,0))))</f>
        <v>3</v>
      </c>
      <c r="AY115" s="41">
        <f>IF(AR115="Better than 15 min",1,IF(AR115=15,2,IF(AR115=30,3,IF(AR115=60,5,0))))</f>
        <v>3</v>
      </c>
      <c r="AZ115" s="207">
        <f t="shared" si="130"/>
        <v>5</v>
      </c>
      <c r="BA115" s="38">
        <f t="shared" si="127"/>
        <v>0</v>
      </c>
      <c r="BB115" s="25">
        <f t="shared" si="128"/>
        <v>0</v>
      </c>
      <c r="BC115" s="167">
        <f t="shared" si="129"/>
        <v>0</v>
      </c>
    </row>
    <row r="116" spans="1:55" ht="13.5" thickBot="1">
      <c r="A116" t="s">
        <v>302</v>
      </c>
      <c r="B116" s="79">
        <v>113</v>
      </c>
      <c r="C116" s="15" t="s">
        <v>213</v>
      </c>
      <c r="D116" s="16" t="s">
        <v>210</v>
      </c>
      <c r="E116" s="20" t="s">
        <v>303</v>
      </c>
      <c r="F116" s="16">
        <v>233</v>
      </c>
      <c r="G116" s="67">
        <f>VLOOKUP($A116,HH_Jobs_CorridorLength!$A$2:$F$116,5,FALSE)</f>
        <v>531.6636688314586</v>
      </c>
      <c r="H116" s="264">
        <f t="shared" si="102"/>
        <v>0</v>
      </c>
      <c r="I116" s="265">
        <f>VLOOKUP($A116,HH_Jobs_CorridorLength!$A$2:$F$116,6,FALSE)</f>
        <v>899.206506586512</v>
      </c>
      <c r="J116" s="264">
        <f t="shared" si="103"/>
        <v>0</v>
      </c>
      <c r="K116" s="320">
        <f>VLOOKUP(A116,Low_Income_Minority!$A$3:$J$115,8,FALSE)</f>
        <v>0.42758803445682936</v>
      </c>
      <c r="L116" s="354">
        <f>IF(Minority&gt;=Minority_Thrshld,Min_Pts,0)</f>
        <v>0</v>
      </c>
      <c r="M116" s="322">
        <f>VLOOKUP(A116,Low_Income_Minority!$A$3:$J$115,10,FALSE)</f>
        <v>0</v>
      </c>
      <c r="N116" s="356">
        <f t="shared" si="104"/>
        <v>0</v>
      </c>
      <c r="O116" s="36" t="str">
        <f>VLOOKUP(A116,Primary_Connections_To_Centers!$A$3:$K$116,9,FALSE)</f>
        <v>No</v>
      </c>
      <c r="P116" s="354">
        <f t="shared" si="105"/>
        <v>0</v>
      </c>
      <c r="Q116" s="36" t="str">
        <f>VLOOKUP(A116,Primary_Connections_To_Centers!$A$3:$K$116,10,FALSE)</f>
        <v>No</v>
      </c>
      <c r="R116" s="354">
        <f t="shared" si="106"/>
        <v>0</v>
      </c>
      <c r="S116" s="65">
        <f t="shared" si="107"/>
        <v>0</v>
      </c>
      <c r="T116" s="65"/>
      <c r="U116" s="73"/>
      <c r="V116" s="64">
        <f t="shared" si="108"/>
        <v>60</v>
      </c>
      <c r="W116" s="64">
        <f t="shared" si="109"/>
        <v>60</v>
      </c>
      <c r="X116" s="64">
        <f t="shared" si="110"/>
        <v>0</v>
      </c>
      <c r="Y116" s="36">
        <f>VLOOKUP(A116,Step_II_Load_CostRecovery_Sum!$A$5:$T$117,14,FALSE)</f>
        <v>0.79</v>
      </c>
      <c r="Z116" s="168">
        <f>VLOOKUP($A116,Step_II_Load_CostRecovery_Sum!$A$5:$T$117,15,FALSE)</f>
        <v>0.36</v>
      </c>
      <c r="AA116" s="36">
        <f t="shared" si="111"/>
        <v>0</v>
      </c>
      <c r="AB116" s="168">
        <f t="shared" si="112"/>
        <v>0</v>
      </c>
      <c r="AC116" s="291">
        <f>VLOOKUP($A116,Step_II_Load_CostRecovery_Sum!$A$5:$AE$117,29,FALSE)</f>
        <v>0.33621079046424096</v>
      </c>
      <c r="AD116" s="292">
        <f>VLOOKUP($A116,Step_II_Load_CostRecovery_Sum!$A$5:$AE$117,30,FALSE)</f>
        <v>0.22086888331242158</v>
      </c>
      <c r="AE116" s="293" t="str">
        <f>VLOOKUP($A116,Step_II_Load_CostRecovery_Sum!$A$5:$AE$117,31,FALSE)</f>
        <v>N/A</v>
      </c>
      <c r="AF116" s="36">
        <f t="shared" si="113"/>
        <v>0</v>
      </c>
      <c r="AG116" s="171">
        <f t="shared" si="114"/>
        <v>0</v>
      </c>
      <c r="AH116" s="168" t="str">
        <f t="shared" si="115"/>
        <v>N/A</v>
      </c>
      <c r="AI116" s="36">
        <f t="shared" si="116"/>
        <v>0</v>
      </c>
      <c r="AJ116" s="219" t="str">
        <f t="shared" si="117"/>
        <v>N/A</v>
      </c>
      <c r="AK116" s="171">
        <f t="shared" si="118"/>
        <v>0</v>
      </c>
      <c r="AL116" s="168">
        <f t="shared" si="119"/>
        <v>0</v>
      </c>
      <c r="AN116" s="221">
        <f t="shared" si="120"/>
        <v>0</v>
      </c>
      <c r="AO116" s="222">
        <f t="shared" si="121"/>
        <v>0</v>
      </c>
      <c r="AP116" s="223">
        <f t="shared" si="122"/>
        <v>0</v>
      </c>
      <c r="AQ116" s="36">
        <f t="shared" si="123"/>
        <v>60</v>
      </c>
      <c r="AR116" s="171">
        <f t="shared" si="124"/>
        <v>60</v>
      </c>
      <c r="AS116" s="219">
        <f t="shared" si="125"/>
        <v>0</v>
      </c>
      <c r="AT116" s="254" t="str">
        <f t="shared" si="126"/>
        <v>Hourly</v>
      </c>
      <c r="AU116" s="252">
        <v>3</v>
      </c>
      <c r="AV116" s="43">
        <v>5</v>
      </c>
      <c r="AW116" s="208">
        <v>6</v>
      </c>
      <c r="AX116" s="176">
        <f>IF(AQ116="Better than 15 min",1,IF(AQ116=15,2,IF(AQ116=30,3,IF(AQ116=60,5,6))))</f>
        <v>5</v>
      </c>
      <c r="AY116" s="43">
        <f>IF(AR116="Better than 15 min",1,IF(AR116=15,2,IF(AR116=30,3,IF(AR116=60,5,6))))</f>
        <v>5</v>
      </c>
      <c r="AZ116" s="177">
        <f t="shared" si="130"/>
        <v>6</v>
      </c>
      <c r="BA116" s="36">
        <f t="shared" si="127"/>
        <v>2</v>
      </c>
      <c r="BB116" s="171">
        <f t="shared" si="128"/>
        <v>0</v>
      </c>
      <c r="BC116" s="168">
        <f t="shared" si="129"/>
        <v>0</v>
      </c>
    </row>
    <row r="117" spans="3:48" ht="12.75">
      <c r="C117" s="21"/>
      <c r="D117" s="21"/>
      <c r="E117" s="21"/>
      <c r="F117" s="261"/>
      <c r="G117" s="216">
        <f>MAX(G4:G116)</f>
        <v>4150.405828706761</v>
      </c>
      <c r="H117" s="262"/>
      <c r="I117" s="263">
        <f>MAX(I4:I116)</f>
        <v>34778.081931040775</v>
      </c>
      <c r="J117" s="1"/>
      <c r="K117" s="14"/>
      <c r="L117" s="1"/>
      <c r="M117" s="14"/>
      <c r="N117" s="1"/>
      <c r="P117" s="262"/>
      <c r="R117" s="262"/>
      <c r="U117" s="74"/>
      <c r="AV117" t="s">
        <v>624</v>
      </c>
    </row>
    <row r="118" spans="3:55" ht="13.5" thickBot="1">
      <c r="C118" s="378"/>
      <c r="D118" s="378"/>
      <c r="E118" s="378"/>
      <c r="F118" s="22"/>
      <c r="G118" s="217"/>
      <c r="H118" s="56"/>
      <c r="I118" s="22"/>
      <c r="J118" s="217"/>
      <c r="K118" s="56"/>
      <c r="L118" s="22"/>
      <c r="M118" s="217"/>
      <c r="O118" s="22"/>
      <c r="P118" s="217"/>
      <c r="Q118" s="56"/>
      <c r="R118" s="22"/>
      <c r="S118" s="352"/>
      <c r="T118" s="56"/>
      <c r="U118" s="22"/>
      <c r="V118" s="217"/>
      <c r="W118" s="56"/>
      <c r="X118" s="22"/>
      <c r="AV118" s="7">
        <v>1</v>
      </c>
      <c r="AW118" s="248" t="s">
        <v>619</v>
      </c>
      <c r="AY118" s="79"/>
      <c r="AZ118" s="79"/>
      <c r="BB118"/>
      <c r="BC118"/>
    </row>
    <row r="119" spans="7:55" ht="13.5" thickBot="1">
      <c r="G119" s="215" t="s">
        <v>5</v>
      </c>
      <c r="H119" s="59" t="s">
        <v>338</v>
      </c>
      <c r="I119" s="28" t="s">
        <v>5</v>
      </c>
      <c r="J119" s="55" t="s">
        <v>338</v>
      </c>
      <c r="K119" s="29" t="s">
        <v>720</v>
      </c>
      <c r="L119" s="55" t="s">
        <v>5</v>
      </c>
      <c r="M119" s="29" t="s">
        <v>336</v>
      </c>
      <c r="N119" s="35" t="s">
        <v>337</v>
      </c>
      <c r="O119" s="29" t="s">
        <v>336</v>
      </c>
      <c r="P119" s="35" t="s">
        <v>337</v>
      </c>
      <c r="Q119" s="29" t="s">
        <v>336</v>
      </c>
      <c r="R119" s="35" t="s">
        <v>337</v>
      </c>
      <c r="S119" s="353"/>
      <c r="U119" s="345" t="s">
        <v>363</v>
      </c>
      <c r="V119" s="346" t="s">
        <v>337</v>
      </c>
      <c r="W119" s="346" t="s">
        <v>337</v>
      </c>
      <c r="X119" s="346" t="s">
        <v>337</v>
      </c>
      <c r="Z119" s="298" t="s">
        <v>716</v>
      </c>
      <c r="AA119" s="300" t="s">
        <v>714</v>
      </c>
      <c r="AB119" s="301" t="s">
        <v>429</v>
      </c>
      <c r="AE119" s="294" t="s">
        <v>713</v>
      </c>
      <c r="AF119" s="295" t="s">
        <v>714</v>
      </c>
      <c r="AG119" s="296" t="s">
        <v>429</v>
      </c>
      <c r="AH119" s="297" t="s">
        <v>419</v>
      </c>
      <c r="AV119" s="7">
        <v>2</v>
      </c>
      <c r="AW119" s="249">
        <v>15</v>
      </c>
      <c r="AY119" s="79"/>
      <c r="AZ119" s="79"/>
      <c r="BB119"/>
      <c r="BC119"/>
    </row>
    <row r="120" spans="7:55" ht="12.75" customHeight="1">
      <c r="G120" s="30">
        <v>10</v>
      </c>
      <c r="H120" s="39">
        <f>G$117*0.75</f>
        <v>3112.804371530071</v>
      </c>
      <c r="I120" s="30">
        <v>10</v>
      </c>
      <c r="J120" s="39">
        <f>I$117*0.5</f>
        <v>17389.040965520388</v>
      </c>
      <c r="K120" s="318">
        <v>0.527</v>
      </c>
      <c r="L120" s="40">
        <v>5</v>
      </c>
      <c r="M120" s="318">
        <v>0.564</v>
      </c>
      <c r="N120" s="40">
        <v>5</v>
      </c>
      <c r="O120" s="31">
        <v>5</v>
      </c>
      <c r="P120" s="40" t="s">
        <v>339</v>
      </c>
      <c r="Q120" s="31">
        <v>5</v>
      </c>
      <c r="R120" s="40" t="s">
        <v>339</v>
      </c>
      <c r="U120" s="347">
        <v>15</v>
      </c>
      <c r="V120" s="348">
        <v>18</v>
      </c>
      <c r="W120" s="348">
        <v>24</v>
      </c>
      <c r="X120" s="348">
        <v>40</v>
      </c>
      <c r="Z120" s="302">
        <v>1.5</v>
      </c>
      <c r="AA120" s="57">
        <v>2</v>
      </c>
      <c r="AB120" s="299">
        <v>2</v>
      </c>
      <c r="AE120" s="290">
        <v>1</v>
      </c>
      <c r="AF120" s="38">
        <v>2</v>
      </c>
      <c r="AG120" s="25">
        <v>2</v>
      </c>
      <c r="AH120" s="167">
        <v>2</v>
      </c>
      <c r="AV120" s="7">
        <v>3</v>
      </c>
      <c r="AW120" s="250" t="s">
        <v>620</v>
      </c>
      <c r="AY120" s="79"/>
      <c r="AZ120" s="79"/>
      <c r="BB120"/>
      <c r="BC120"/>
    </row>
    <row r="121" spans="3:55" ht="13.5" thickBot="1">
      <c r="C121" s="2"/>
      <c r="D121" s="2"/>
      <c r="G121" s="30">
        <v>7</v>
      </c>
      <c r="H121" s="39">
        <f>G$117*0.5</f>
        <v>2075.2029143533805</v>
      </c>
      <c r="I121" s="30">
        <v>7</v>
      </c>
      <c r="J121" s="39">
        <f>I$117*0.33</f>
        <v>11476.767037243457</v>
      </c>
      <c r="K121" s="31"/>
      <c r="L121" s="39"/>
      <c r="M121" s="31"/>
      <c r="N121" s="39"/>
      <c r="O121" s="31"/>
      <c r="P121" s="39"/>
      <c r="Q121" s="31"/>
      <c r="R121" s="39"/>
      <c r="U121" s="347">
        <v>30</v>
      </c>
      <c r="V121" s="349">
        <v>9</v>
      </c>
      <c r="W121" s="349">
        <v>9</v>
      </c>
      <c r="X121" s="349">
        <v>18</v>
      </c>
      <c r="Z121" s="303">
        <v>0.8</v>
      </c>
      <c r="AA121" s="36">
        <v>1</v>
      </c>
      <c r="AB121" s="168">
        <v>1</v>
      </c>
      <c r="AE121" s="290">
        <v>0.5</v>
      </c>
      <c r="AF121" s="38">
        <v>1</v>
      </c>
      <c r="AG121" s="25">
        <v>1</v>
      </c>
      <c r="AH121" s="167">
        <v>1</v>
      </c>
      <c r="AV121" s="7">
        <v>4</v>
      </c>
      <c r="AW121" s="250" t="s">
        <v>621</v>
      </c>
      <c r="AY121" s="79"/>
      <c r="AZ121" s="79"/>
      <c r="BB121"/>
      <c r="BC121"/>
    </row>
    <row r="122" spans="3:55" ht="13.5" thickBot="1">
      <c r="C122" s="2"/>
      <c r="D122" s="2"/>
      <c r="G122" s="32">
        <v>4</v>
      </c>
      <c r="H122" s="37">
        <f>G$117*0.25</f>
        <v>1037.6014571766902</v>
      </c>
      <c r="I122" s="32">
        <v>4</v>
      </c>
      <c r="J122" s="37">
        <f>I$117*0.167</f>
        <v>5807.9396824838095</v>
      </c>
      <c r="K122" s="33">
        <v>0</v>
      </c>
      <c r="L122" s="54">
        <v>0</v>
      </c>
      <c r="M122" s="33">
        <v>0</v>
      </c>
      <c r="N122" s="54">
        <v>0</v>
      </c>
      <c r="O122" s="33">
        <v>0</v>
      </c>
      <c r="P122" s="54" t="s">
        <v>340</v>
      </c>
      <c r="Q122" s="33">
        <v>0</v>
      </c>
      <c r="R122" s="54" t="s">
        <v>340</v>
      </c>
      <c r="U122" s="350">
        <v>60</v>
      </c>
      <c r="V122" s="351">
        <v>-1</v>
      </c>
      <c r="W122" s="351">
        <v>-1</v>
      </c>
      <c r="X122" s="351">
        <v>18</v>
      </c>
      <c r="AE122" s="290">
        <v>0.33</v>
      </c>
      <c r="AF122" s="38">
        <v>0</v>
      </c>
      <c r="AG122" s="25">
        <v>0</v>
      </c>
      <c r="AH122" s="167">
        <v>1</v>
      </c>
      <c r="AV122" s="7">
        <v>5</v>
      </c>
      <c r="AW122" s="248" t="s">
        <v>622</v>
      </c>
      <c r="AY122" s="79"/>
      <c r="AZ122" s="79"/>
      <c r="BB122"/>
      <c r="BC122"/>
    </row>
    <row r="123" spans="7:51" ht="12.75" customHeight="1">
      <c r="G123" s="27"/>
      <c r="H123" s="56"/>
      <c r="I123" s="27"/>
      <c r="J123" s="1"/>
      <c r="AE123" s="290">
        <v>0.16</v>
      </c>
      <c r="AF123" s="38"/>
      <c r="AG123" s="25"/>
      <c r="AH123" s="167">
        <v>30</v>
      </c>
      <c r="AV123" s="7">
        <v>6</v>
      </c>
      <c r="AW123" s="248" t="s">
        <v>623</v>
      </c>
      <c r="AY123" s="79"/>
    </row>
    <row r="124" spans="7:49" ht="13.5" thickBot="1">
      <c r="G124" s="27"/>
      <c r="H124" s="56"/>
      <c r="I124" s="27"/>
      <c r="J124" s="1"/>
      <c r="AE124" s="290">
        <v>0.08</v>
      </c>
      <c r="AF124" s="36"/>
      <c r="AG124" s="171"/>
      <c r="AH124" s="168">
        <v>60</v>
      </c>
      <c r="AW124" s="21"/>
    </row>
  </sheetData>
  <sheetProtection/>
  <mergeCells count="18">
    <mergeCell ref="G1:X1"/>
    <mergeCell ref="Y1:AP1"/>
    <mergeCell ref="BA2:BC2"/>
    <mergeCell ref="V2:X2"/>
    <mergeCell ref="Y2:Z2"/>
    <mergeCell ref="AC2:AE2"/>
    <mergeCell ref="AU2:AW2"/>
    <mergeCell ref="AX2:AZ2"/>
    <mergeCell ref="AA2:AB2"/>
    <mergeCell ref="AF2:AH2"/>
    <mergeCell ref="AI2:AL2"/>
    <mergeCell ref="AN2:AP2"/>
    <mergeCell ref="AQ2:AS2"/>
    <mergeCell ref="C2:E2"/>
    <mergeCell ref="G2:J2"/>
    <mergeCell ref="K2:N2"/>
    <mergeCell ref="O2:R2"/>
    <mergeCell ref="C118:E118"/>
  </mergeCells>
  <conditionalFormatting sqref="BA4:BC11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fitToHeight="2" fitToWidth="2" horizontalDpi="600" verticalDpi="600" orientation="landscape" paperSize="17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2.140625" style="108" customWidth="1"/>
    <col min="2" max="2" width="6.57421875" style="108" bestFit="1" customWidth="1"/>
    <col min="3" max="3" width="12.7109375" style="121" bestFit="1" customWidth="1"/>
    <col min="4" max="4" width="20.28125" style="331" bestFit="1" customWidth="1"/>
    <col min="5" max="5" width="21.8515625" style="331" bestFit="1" customWidth="1"/>
    <col min="6" max="6" width="12.140625" style="108" bestFit="1" customWidth="1"/>
    <col min="7" max="7" width="27.7109375" style="108" bestFit="1" customWidth="1"/>
    <col min="8" max="8" width="23.7109375" style="108" customWidth="1"/>
    <col min="9" max="16384" width="9.140625" style="108" customWidth="1"/>
  </cols>
  <sheetData>
    <row r="1" spans="1:8" ht="12.75">
      <c r="A1" s="123" t="s">
        <v>435</v>
      </c>
      <c r="B1" s="123" t="s">
        <v>436</v>
      </c>
      <c r="C1" s="124" t="s">
        <v>748</v>
      </c>
      <c r="D1" s="329" t="s">
        <v>733</v>
      </c>
      <c r="E1" s="329" t="s">
        <v>734</v>
      </c>
      <c r="F1" s="88" t="s">
        <v>402</v>
      </c>
      <c r="G1" s="106" t="s">
        <v>750</v>
      </c>
      <c r="H1" s="120" t="s">
        <v>732</v>
      </c>
    </row>
    <row r="2" spans="1:7" ht="12.75">
      <c r="A2" s="125" t="s">
        <v>437</v>
      </c>
      <c r="B2" s="126">
        <v>41</v>
      </c>
      <c r="C2" s="127">
        <v>0.9350132625994695</v>
      </c>
      <c r="D2" s="330">
        <v>8</v>
      </c>
      <c r="E2" s="330">
        <v>15</v>
      </c>
      <c r="F2" s="112">
        <f>D2/E2</f>
        <v>0.5333333333333333</v>
      </c>
      <c r="G2" s="113">
        <f aca="true" t="shared" si="0" ref="G2:G35">C2/F2</f>
        <v>1.7531498673740054</v>
      </c>
    </row>
    <row r="3" spans="1:7" ht="12.75">
      <c r="A3" s="125" t="s">
        <v>438</v>
      </c>
      <c r="B3" s="126">
        <v>255</v>
      </c>
      <c r="C3" s="127">
        <v>0.7706896551724138</v>
      </c>
      <c r="D3" s="330">
        <v>15</v>
      </c>
      <c r="E3" s="330">
        <v>30</v>
      </c>
      <c r="F3" s="112">
        <f aca="true" t="shared" si="1" ref="F3:F45">D3/E3</f>
        <v>0.5</v>
      </c>
      <c r="G3" s="113">
        <f t="shared" si="0"/>
        <v>1.5413793103448277</v>
      </c>
    </row>
    <row r="4" spans="1:7" ht="12.75">
      <c r="A4" s="125" t="s">
        <v>439</v>
      </c>
      <c r="B4" s="126">
        <v>120</v>
      </c>
      <c r="C4" s="127">
        <v>0.7789046653144016</v>
      </c>
      <c r="D4" s="330">
        <v>8</v>
      </c>
      <c r="E4" s="330">
        <v>15</v>
      </c>
      <c r="F4" s="112">
        <f t="shared" si="1"/>
        <v>0.5333333333333333</v>
      </c>
      <c r="G4" s="113">
        <f t="shared" si="0"/>
        <v>1.460446247464503</v>
      </c>
    </row>
    <row r="5" spans="1:7" ht="12.75">
      <c r="A5" s="125" t="s">
        <v>443</v>
      </c>
      <c r="B5" s="126">
        <v>125</v>
      </c>
      <c r="C5" s="127">
        <v>0.7261904761904762</v>
      </c>
      <c r="D5" s="330">
        <v>15</v>
      </c>
      <c r="E5" s="330">
        <v>30</v>
      </c>
      <c r="F5" s="112">
        <f t="shared" si="1"/>
        <v>0.5</v>
      </c>
      <c r="G5" s="113">
        <f t="shared" si="0"/>
        <v>1.4523809523809523</v>
      </c>
    </row>
    <row r="6" spans="1:7" ht="12.75">
      <c r="A6" s="125" t="s">
        <v>442</v>
      </c>
      <c r="B6" s="126">
        <v>358</v>
      </c>
      <c r="C6" s="127">
        <v>0.76953125</v>
      </c>
      <c r="D6" s="330">
        <v>8</v>
      </c>
      <c r="E6" s="330">
        <v>15</v>
      </c>
      <c r="F6" s="112">
        <f t="shared" si="1"/>
        <v>0.5333333333333333</v>
      </c>
      <c r="G6" s="113">
        <f t="shared" si="0"/>
        <v>1.44287109375</v>
      </c>
    </row>
    <row r="7" spans="1:7" ht="12.75">
      <c r="A7" s="125" t="s">
        <v>440</v>
      </c>
      <c r="B7" s="126">
        <v>36</v>
      </c>
      <c r="C7" s="128">
        <v>0.6669034090909091</v>
      </c>
      <c r="D7" s="330">
        <v>7</v>
      </c>
      <c r="E7" s="330">
        <v>15</v>
      </c>
      <c r="F7" s="112">
        <f t="shared" si="1"/>
        <v>0.4666666666666667</v>
      </c>
      <c r="G7" s="113">
        <f t="shared" si="0"/>
        <v>1.4290787337662336</v>
      </c>
    </row>
    <row r="8" spans="1:7" ht="12.75">
      <c r="A8" s="365" t="s">
        <v>449</v>
      </c>
      <c r="B8" s="366">
        <v>372</v>
      </c>
      <c r="C8" s="367">
        <v>0.9413145539906104</v>
      </c>
      <c r="D8" s="330">
        <v>8</v>
      </c>
      <c r="E8" s="330">
        <v>60</v>
      </c>
      <c r="F8" s="112">
        <f t="shared" si="1"/>
        <v>0.13333333333333333</v>
      </c>
      <c r="G8" s="113">
        <f t="shared" si="0"/>
        <v>7.059859154929578</v>
      </c>
    </row>
    <row r="9" spans="1:7" ht="12.75">
      <c r="A9" s="368" t="s">
        <v>448</v>
      </c>
      <c r="B9" s="369">
        <v>16</v>
      </c>
      <c r="C9" s="370">
        <v>0.8879551820728291</v>
      </c>
      <c r="D9" s="330">
        <v>20</v>
      </c>
      <c r="E9" s="330">
        <v>30</v>
      </c>
      <c r="F9" s="112">
        <f t="shared" si="1"/>
        <v>0.6666666666666666</v>
      </c>
      <c r="G9" s="113">
        <f t="shared" si="0"/>
        <v>1.3319327731092436</v>
      </c>
    </row>
    <row r="10" spans="1:7" ht="12.75">
      <c r="A10" s="368" t="s">
        <v>451</v>
      </c>
      <c r="B10" s="369">
        <v>3</v>
      </c>
      <c r="C10" s="370">
        <v>0.8642857142857143</v>
      </c>
      <c r="D10" s="330">
        <v>20</v>
      </c>
      <c r="E10" s="330">
        <v>30</v>
      </c>
      <c r="F10" s="112">
        <f t="shared" si="1"/>
        <v>0.6666666666666666</v>
      </c>
      <c r="G10" s="113">
        <f t="shared" si="0"/>
        <v>1.2964285714285715</v>
      </c>
    </row>
    <row r="11" spans="1:7" ht="12.75">
      <c r="A11" s="368" t="s">
        <v>450</v>
      </c>
      <c r="B11" s="369">
        <v>234</v>
      </c>
      <c r="C11" s="370">
        <v>0.6055555555555555</v>
      </c>
      <c r="D11" s="330">
        <v>30</v>
      </c>
      <c r="E11" s="330">
        <v>60</v>
      </c>
      <c r="F11" s="112">
        <f t="shared" si="1"/>
        <v>0.5</v>
      </c>
      <c r="G11" s="113">
        <f t="shared" si="0"/>
        <v>1.211111111111111</v>
      </c>
    </row>
    <row r="12" spans="1:7" ht="12.75">
      <c r="A12" s="368" t="s">
        <v>446</v>
      </c>
      <c r="B12" s="369">
        <v>101</v>
      </c>
      <c r="C12" s="370">
        <v>0.7896174863387978</v>
      </c>
      <c r="D12" s="330">
        <v>10</v>
      </c>
      <c r="E12" s="330">
        <v>15</v>
      </c>
      <c r="F12" s="112">
        <f t="shared" si="1"/>
        <v>0.6666666666666666</v>
      </c>
      <c r="G12" s="113">
        <f t="shared" si="0"/>
        <v>1.1844262295081969</v>
      </c>
    </row>
    <row r="13" spans="1:8" ht="12.75">
      <c r="A13" s="368" t="s">
        <v>612</v>
      </c>
      <c r="B13" s="369">
        <v>271</v>
      </c>
      <c r="C13" s="370">
        <v>0.5873015873015873</v>
      </c>
      <c r="D13" s="330">
        <v>10</v>
      </c>
      <c r="E13" s="330">
        <v>30</v>
      </c>
      <c r="F13" s="112">
        <f t="shared" si="1"/>
        <v>0.3333333333333333</v>
      </c>
      <c r="G13" s="113">
        <f>(C13/F13)/3</f>
        <v>0.5873015873015873</v>
      </c>
      <c r="H13" s="213" t="s">
        <v>614</v>
      </c>
    </row>
    <row r="14" spans="1:7" ht="12.75">
      <c r="A14" s="368" t="s">
        <v>447</v>
      </c>
      <c r="B14" s="369">
        <v>271</v>
      </c>
      <c r="C14" s="370">
        <v>0.5873015873015873</v>
      </c>
      <c r="D14" s="330">
        <v>10</v>
      </c>
      <c r="E14" s="330">
        <v>30</v>
      </c>
      <c r="F14" s="112">
        <f t="shared" si="1"/>
        <v>0.3333333333333333</v>
      </c>
      <c r="G14" s="113">
        <f t="shared" si="0"/>
        <v>1.761904761904762</v>
      </c>
    </row>
    <row r="15" spans="1:7" ht="12.75">
      <c r="A15" s="368" t="s">
        <v>455</v>
      </c>
      <c r="B15" s="369">
        <v>106</v>
      </c>
      <c r="C15" s="370">
        <v>0.5790229885057471</v>
      </c>
      <c r="D15" s="330">
        <v>15</v>
      </c>
      <c r="E15" s="330">
        <v>30</v>
      </c>
      <c r="F15" s="112">
        <f t="shared" si="1"/>
        <v>0.5</v>
      </c>
      <c r="G15" s="113">
        <f t="shared" si="0"/>
        <v>1.1580459770114941</v>
      </c>
    </row>
    <row r="16" spans="1:7" ht="12.75">
      <c r="A16" s="368" t="s">
        <v>461</v>
      </c>
      <c r="B16" s="369">
        <v>15</v>
      </c>
      <c r="C16" s="370">
        <v>0.758220502901354</v>
      </c>
      <c r="D16" s="330"/>
      <c r="E16" s="330"/>
      <c r="F16" s="112">
        <f>20/20</f>
        <v>1</v>
      </c>
      <c r="G16" s="113">
        <f t="shared" si="0"/>
        <v>0.758220502901354</v>
      </c>
    </row>
    <row r="17" spans="1:7" ht="12.75">
      <c r="A17" s="368" t="s">
        <v>452</v>
      </c>
      <c r="B17" s="369">
        <v>44</v>
      </c>
      <c r="C17" s="370">
        <v>0.8877551020408163</v>
      </c>
      <c r="D17" s="330">
        <v>15</v>
      </c>
      <c r="E17" s="330">
        <v>30</v>
      </c>
      <c r="F17" s="112">
        <f t="shared" si="1"/>
        <v>0.5</v>
      </c>
      <c r="G17" s="113">
        <f t="shared" si="0"/>
        <v>1.7755102040816326</v>
      </c>
    </row>
    <row r="18" spans="1:7" ht="12.75">
      <c r="A18" s="368" t="s">
        <v>459</v>
      </c>
      <c r="B18" s="369">
        <v>10</v>
      </c>
      <c r="C18" s="370">
        <v>0.7226190476190476</v>
      </c>
      <c r="D18" s="330">
        <v>10</v>
      </c>
      <c r="E18" s="330">
        <v>15</v>
      </c>
      <c r="F18" s="112">
        <f t="shared" si="1"/>
        <v>0.6666666666666666</v>
      </c>
      <c r="G18" s="113">
        <f t="shared" si="0"/>
        <v>1.0839285714285716</v>
      </c>
    </row>
    <row r="19" spans="1:7" ht="12.75">
      <c r="A19" s="368" t="s">
        <v>454</v>
      </c>
      <c r="B19" s="369">
        <v>54</v>
      </c>
      <c r="C19" s="370">
        <v>0.7182795698924731</v>
      </c>
      <c r="D19" s="330">
        <v>20</v>
      </c>
      <c r="E19" s="330">
        <v>30</v>
      </c>
      <c r="F19" s="112">
        <f t="shared" si="1"/>
        <v>0.6666666666666666</v>
      </c>
      <c r="G19" s="113">
        <f t="shared" si="0"/>
        <v>1.0774193548387097</v>
      </c>
    </row>
    <row r="20" spans="1:7" ht="12.75">
      <c r="A20" s="368" t="s">
        <v>444</v>
      </c>
      <c r="B20" s="369">
        <v>4</v>
      </c>
      <c r="C20" s="370">
        <v>0.7142857142857143</v>
      </c>
      <c r="D20" s="330">
        <v>20</v>
      </c>
      <c r="E20" s="330">
        <v>30</v>
      </c>
      <c r="F20" s="112">
        <f t="shared" si="1"/>
        <v>0.6666666666666666</v>
      </c>
      <c r="G20" s="113">
        <f t="shared" si="0"/>
        <v>1.0714285714285716</v>
      </c>
    </row>
    <row r="21" spans="1:7" ht="12.75">
      <c r="A21" s="368" t="s">
        <v>460</v>
      </c>
      <c r="B21" s="369">
        <v>7</v>
      </c>
      <c r="C21" s="370">
        <v>0.6949404761904762</v>
      </c>
      <c r="D21" s="330">
        <v>10</v>
      </c>
      <c r="E21" s="330">
        <v>15</v>
      </c>
      <c r="F21" s="112">
        <f t="shared" si="1"/>
        <v>0.6666666666666666</v>
      </c>
      <c r="G21" s="113">
        <f t="shared" si="0"/>
        <v>1.0424107142857144</v>
      </c>
    </row>
    <row r="22" spans="1:7" ht="12.75">
      <c r="A22" s="368" t="s">
        <v>388</v>
      </c>
      <c r="B22" s="369">
        <v>71</v>
      </c>
      <c r="C22" s="370">
        <v>1.0402298850574712</v>
      </c>
      <c r="D22" s="371">
        <v>8</v>
      </c>
      <c r="E22" s="372">
        <v>30</v>
      </c>
      <c r="F22" s="112">
        <f t="shared" si="1"/>
        <v>0.26666666666666666</v>
      </c>
      <c r="G22" s="113">
        <f t="shared" si="0"/>
        <v>3.900862068965517</v>
      </c>
    </row>
    <row r="23" spans="1:8" ht="12.75">
      <c r="A23" s="373" t="s">
        <v>603</v>
      </c>
      <c r="B23" s="369">
        <v>71</v>
      </c>
      <c r="C23" s="370">
        <f>C22</f>
        <v>1.0402298850574712</v>
      </c>
      <c r="D23" s="372">
        <v>20</v>
      </c>
      <c r="E23" s="372">
        <v>30</v>
      </c>
      <c r="F23" s="112">
        <f t="shared" si="1"/>
        <v>0.6666666666666666</v>
      </c>
      <c r="G23" s="113">
        <f>C23*F23</f>
        <v>0.693486590038314</v>
      </c>
      <c r="H23" s="327" t="s">
        <v>604</v>
      </c>
    </row>
    <row r="24" spans="1:7" ht="12.75">
      <c r="A24" s="368" t="s">
        <v>465</v>
      </c>
      <c r="B24" s="369">
        <v>72</v>
      </c>
      <c r="C24" s="370">
        <v>1.014367816091954</v>
      </c>
      <c r="D24" s="371">
        <v>8</v>
      </c>
      <c r="E24" s="372">
        <v>30</v>
      </c>
      <c r="F24" s="112">
        <f t="shared" si="1"/>
        <v>0.26666666666666666</v>
      </c>
      <c r="G24" s="113">
        <f t="shared" si="0"/>
        <v>3.803879310344828</v>
      </c>
    </row>
    <row r="25" spans="1:7" ht="12.75">
      <c r="A25" s="368" t="s">
        <v>445</v>
      </c>
      <c r="B25" s="369">
        <v>3</v>
      </c>
      <c r="C25" s="370">
        <v>0.6595238095238095</v>
      </c>
      <c r="D25" s="330">
        <v>20</v>
      </c>
      <c r="E25" s="330">
        <v>30</v>
      </c>
      <c r="F25" s="112">
        <f t="shared" si="1"/>
        <v>0.6666666666666666</v>
      </c>
      <c r="G25" s="113">
        <f t="shared" si="0"/>
        <v>0.9892857142857143</v>
      </c>
    </row>
    <row r="26" spans="1:7" ht="12.75">
      <c r="A26" s="368" t="s">
        <v>456</v>
      </c>
      <c r="B26" s="369">
        <v>18</v>
      </c>
      <c r="C26" s="370">
        <v>0.6348547717842323</v>
      </c>
      <c r="D26" s="330"/>
      <c r="E26" s="330"/>
      <c r="F26" s="112">
        <f>20/20</f>
        <v>1</v>
      </c>
      <c r="G26" s="113">
        <f t="shared" si="0"/>
        <v>0.6348547717842323</v>
      </c>
    </row>
    <row r="27" spans="1:7" ht="12.75">
      <c r="A27" s="368" t="s">
        <v>453</v>
      </c>
      <c r="B27" s="369">
        <v>48</v>
      </c>
      <c r="C27" s="370">
        <v>0.6331138287864534</v>
      </c>
      <c r="D27" s="330">
        <v>10</v>
      </c>
      <c r="E27" s="330">
        <v>30</v>
      </c>
      <c r="F27" s="112">
        <f t="shared" si="1"/>
        <v>0.3333333333333333</v>
      </c>
      <c r="G27" s="113">
        <f t="shared" si="0"/>
        <v>1.8993414863593603</v>
      </c>
    </row>
    <row r="28" spans="1:7" ht="12.75">
      <c r="A28" s="368" t="s">
        <v>458</v>
      </c>
      <c r="B28" s="369">
        <v>2</v>
      </c>
      <c r="C28" s="370">
        <v>0.6316526610644257</v>
      </c>
      <c r="D28" s="330">
        <v>10</v>
      </c>
      <c r="E28" s="330">
        <v>15</v>
      </c>
      <c r="F28" s="112">
        <f t="shared" si="1"/>
        <v>0.6666666666666666</v>
      </c>
      <c r="G28" s="113">
        <f t="shared" si="0"/>
        <v>0.9474789915966386</v>
      </c>
    </row>
    <row r="29" spans="1:7" ht="12.75">
      <c r="A29" s="368" t="s">
        <v>485</v>
      </c>
      <c r="B29" s="369">
        <v>245</v>
      </c>
      <c r="C29" s="370">
        <v>0.47354497354497355</v>
      </c>
      <c r="D29" s="330">
        <v>15</v>
      </c>
      <c r="E29" s="330">
        <v>30</v>
      </c>
      <c r="F29" s="112">
        <f t="shared" si="1"/>
        <v>0.5</v>
      </c>
      <c r="G29" s="113">
        <f t="shared" si="0"/>
        <v>0.9470899470899471</v>
      </c>
    </row>
    <row r="30" spans="1:7" ht="12.75">
      <c r="A30" s="368" t="s">
        <v>466</v>
      </c>
      <c r="B30" s="369">
        <v>248</v>
      </c>
      <c r="C30" s="370">
        <v>0.4666666666666667</v>
      </c>
      <c r="D30" s="330"/>
      <c r="E30" s="330"/>
      <c r="F30" s="112">
        <f>30/30</f>
        <v>1</v>
      </c>
      <c r="G30" s="113">
        <f t="shared" si="0"/>
        <v>0.4666666666666667</v>
      </c>
    </row>
    <row r="31" spans="1:7" ht="12.75">
      <c r="A31" s="368" t="s">
        <v>478</v>
      </c>
      <c r="B31" s="369">
        <v>168</v>
      </c>
      <c r="C31" s="370">
        <v>0.9126984126984127</v>
      </c>
      <c r="D31" s="372">
        <v>60</v>
      </c>
      <c r="E31" s="372">
        <v>30</v>
      </c>
      <c r="F31" s="112">
        <f t="shared" si="1"/>
        <v>2</v>
      </c>
      <c r="G31" s="113">
        <f t="shared" si="0"/>
        <v>0.45634920634920634</v>
      </c>
    </row>
    <row r="32" spans="1:7" ht="12.75">
      <c r="A32" s="368" t="s">
        <v>387</v>
      </c>
      <c r="B32" s="369">
        <v>73</v>
      </c>
      <c r="C32" s="370">
        <v>0.9109195402298851</v>
      </c>
      <c r="D32" s="371">
        <v>8</v>
      </c>
      <c r="E32" s="372">
        <v>30</v>
      </c>
      <c r="F32" s="112">
        <f t="shared" si="1"/>
        <v>0.26666666666666666</v>
      </c>
      <c r="G32" s="113">
        <f t="shared" si="0"/>
        <v>3.415948275862069</v>
      </c>
    </row>
    <row r="33" spans="1:7" ht="12.75">
      <c r="A33" s="368" t="s">
        <v>391</v>
      </c>
      <c r="B33" s="369">
        <v>5</v>
      </c>
      <c r="C33" s="370">
        <v>0.5963541666666666</v>
      </c>
      <c r="D33" s="330">
        <v>20</v>
      </c>
      <c r="E33" s="330">
        <v>30</v>
      </c>
      <c r="F33" s="112">
        <f t="shared" si="1"/>
        <v>0.6666666666666666</v>
      </c>
      <c r="G33" s="113">
        <f t="shared" si="0"/>
        <v>0.89453125</v>
      </c>
    </row>
    <row r="34" spans="1:7" ht="12.75">
      <c r="A34" s="368" t="s">
        <v>536</v>
      </c>
      <c r="B34" s="369">
        <v>118</v>
      </c>
      <c r="C34" s="370">
        <v>0.8823529411764706</v>
      </c>
      <c r="D34" s="372"/>
      <c r="E34" s="372"/>
      <c r="F34" s="112">
        <v>1</v>
      </c>
      <c r="G34" s="113">
        <f t="shared" si="0"/>
        <v>0.8823529411764706</v>
      </c>
    </row>
    <row r="35" spans="1:7" ht="12.75">
      <c r="A35" s="368" t="s">
        <v>389</v>
      </c>
      <c r="B35" s="369">
        <v>68</v>
      </c>
      <c r="C35" s="370">
        <v>0.8690476190476191</v>
      </c>
      <c r="D35" s="372">
        <v>30</v>
      </c>
      <c r="E35" s="371">
        <v>60</v>
      </c>
      <c r="F35" s="112">
        <f t="shared" si="1"/>
        <v>0.5</v>
      </c>
      <c r="G35" s="113">
        <f t="shared" si="0"/>
        <v>1.7380952380952381</v>
      </c>
    </row>
    <row r="36" spans="1:7" ht="12.75">
      <c r="A36" s="368" t="s">
        <v>484</v>
      </c>
      <c r="B36" s="369">
        <v>43</v>
      </c>
      <c r="C36" s="370">
        <v>0.5748299319727891</v>
      </c>
      <c r="D36" s="330">
        <v>10</v>
      </c>
      <c r="E36" s="330">
        <v>15</v>
      </c>
      <c r="F36" s="112">
        <f t="shared" si="1"/>
        <v>0.6666666666666666</v>
      </c>
      <c r="G36" s="113">
        <f aca="true" t="shared" si="2" ref="G36:G68">C36/F36</f>
        <v>0.8622448979591837</v>
      </c>
    </row>
    <row r="37" spans="1:7" ht="12.75">
      <c r="A37" s="368" t="s">
        <v>471</v>
      </c>
      <c r="B37" s="369">
        <v>75</v>
      </c>
      <c r="C37" s="370">
        <v>0.8550295857988166</v>
      </c>
      <c r="D37" s="372"/>
      <c r="E37" s="372"/>
      <c r="F37" s="112">
        <v>1</v>
      </c>
      <c r="G37" s="113">
        <f t="shared" si="2"/>
        <v>0.8550295857988166</v>
      </c>
    </row>
    <row r="38" spans="1:7" ht="12.75">
      <c r="A38" s="368" t="s">
        <v>462</v>
      </c>
      <c r="B38" s="369">
        <v>12</v>
      </c>
      <c r="C38" s="370">
        <v>0.569047619047619</v>
      </c>
      <c r="D38" s="330">
        <v>10</v>
      </c>
      <c r="E38" s="330">
        <v>15</v>
      </c>
      <c r="F38" s="112">
        <f t="shared" si="1"/>
        <v>0.6666666666666666</v>
      </c>
      <c r="G38" s="113">
        <f t="shared" si="2"/>
        <v>0.8535714285714285</v>
      </c>
    </row>
    <row r="39" spans="1:7" ht="12.75">
      <c r="A39" s="368" t="s">
        <v>518</v>
      </c>
      <c r="B39" s="369">
        <v>164</v>
      </c>
      <c r="C39" s="370">
        <v>0.8412698412698413</v>
      </c>
      <c r="D39" s="372">
        <v>60</v>
      </c>
      <c r="E39" s="372">
        <v>30</v>
      </c>
      <c r="F39" s="112">
        <f t="shared" si="1"/>
        <v>2</v>
      </c>
      <c r="G39" s="113">
        <f t="shared" si="2"/>
        <v>0.42063492063492064</v>
      </c>
    </row>
    <row r="40" spans="1:7" ht="12.75">
      <c r="A40" s="373" t="s">
        <v>476</v>
      </c>
      <c r="B40" s="369">
        <v>60</v>
      </c>
      <c r="C40" s="370">
        <v>0.8373015873015873</v>
      </c>
      <c r="D40" s="372">
        <v>20</v>
      </c>
      <c r="E40" s="372">
        <v>15</v>
      </c>
      <c r="F40" s="112">
        <f t="shared" si="1"/>
        <v>1.3333333333333333</v>
      </c>
      <c r="G40" s="113">
        <f t="shared" si="2"/>
        <v>0.6279761904761906</v>
      </c>
    </row>
    <row r="41" spans="1:7" ht="12.75">
      <c r="A41" s="373">
        <v>373</v>
      </c>
      <c r="B41" s="369">
        <v>373</v>
      </c>
      <c r="C41" s="370">
        <v>0.84</v>
      </c>
      <c r="D41" s="371">
        <v>15</v>
      </c>
      <c r="E41" s="372">
        <v>60</v>
      </c>
      <c r="F41" s="112">
        <f t="shared" si="1"/>
        <v>0.25</v>
      </c>
      <c r="G41" s="113">
        <f t="shared" si="2"/>
        <v>3.36</v>
      </c>
    </row>
    <row r="42" spans="1:7" ht="12.75">
      <c r="A42" s="368" t="s">
        <v>468</v>
      </c>
      <c r="B42" s="369">
        <v>222</v>
      </c>
      <c r="C42" s="370">
        <v>0.4166666666666667</v>
      </c>
      <c r="D42" s="330">
        <v>30</v>
      </c>
      <c r="E42" s="330">
        <v>60</v>
      </c>
      <c r="F42" s="112">
        <f t="shared" si="1"/>
        <v>0.5</v>
      </c>
      <c r="G42" s="113">
        <f t="shared" si="2"/>
        <v>0.8333333333333334</v>
      </c>
    </row>
    <row r="43" spans="1:7" ht="12.75">
      <c r="A43" s="368" t="s">
        <v>486</v>
      </c>
      <c r="B43" s="369">
        <v>180</v>
      </c>
      <c r="C43" s="370">
        <v>0.8174603174603174</v>
      </c>
      <c r="D43" s="372">
        <v>30</v>
      </c>
      <c r="E43" s="372">
        <v>15</v>
      </c>
      <c r="F43" s="112">
        <f t="shared" si="1"/>
        <v>2</v>
      </c>
      <c r="G43" s="113">
        <f t="shared" si="2"/>
        <v>0.4087301587301587</v>
      </c>
    </row>
    <row r="44" spans="1:7" ht="12.75">
      <c r="A44" s="368" t="s">
        <v>477</v>
      </c>
      <c r="B44" s="369">
        <v>31</v>
      </c>
      <c r="C44" s="370">
        <v>0.8134920634920635</v>
      </c>
      <c r="D44" s="330"/>
      <c r="E44" s="330"/>
      <c r="F44" s="112">
        <v>1</v>
      </c>
      <c r="G44" s="113">
        <f t="shared" si="2"/>
        <v>0.8134920634920635</v>
      </c>
    </row>
    <row r="45" spans="1:7" ht="12.75">
      <c r="A45" s="368" t="s">
        <v>469</v>
      </c>
      <c r="B45" s="369">
        <v>26</v>
      </c>
      <c r="C45" s="370">
        <v>0.541015625</v>
      </c>
      <c r="D45" s="330">
        <v>20</v>
      </c>
      <c r="E45" s="330">
        <v>30</v>
      </c>
      <c r="F45" s="112">
        <f t="shared" si="1"/>
        <v>0.6666666666666666</v>
      </c>
      <c r="G45" s="113">
        <f t="shared" si="2"/>
        <v>0.8115234375</v>
      </c>
    </row>
    <row r="46" spans="1:7" ht="12.75">
      <c r="A46" s="368" t="s">
        <v>464</v>
      </c>
      <c r="B46" s="369">
        <v>66</v>
      </c>
      <c r="C46" s="370">
        <v>0.8095238095238095</v>
      </c>
      <c r="D46" s="372"/>
      <c r="E46" s="372"/>
      <c r="F46" s="112">
        <v>1</v>
      </c>
      <c r="G46" s="113">
        <f t="shared" si="2"/>
        <v>0.8095238095238095</v>
      </c>
    </row>
    <row r="47" spans="1:7" ht="12.75">
      <c r="A47" s="368" t="s">
        <v>553</v>
      </c>
      <c r="B47" s="369">
        <v>916</v>
      </c>
      <c r="C47" s="370">
        <v>0.8</v>
      </c>
      <c r="D47" s="372"/>
      <c r="E47" s="372"/>
      <c r="F47" s="112">
        <v>1</v>
      </c>
      <c r="G47" s="113">
        <f t="shared" si="2"/>
        <v>0.8</v>
      </c>
    </row>
    <row r="48" spans="1:7" ht="12.75">
      <c r="A48" s="368" t="s">
        <v>554</v>
      </c>
      <c r="B48" s="369">
        <v>7</v>
      </c>
      <c r="C48" s="370">
        <v>0.7976190476190477</v>
      </c>
      <c r="D48" s="330"/>
      <c r="E48" s="330"/>
      <c r="F48" s="112">
        <v>1</v>
      </c>
      <c r="G48" s="113">
        <f t="shared" si="2"/>
        <v>0.7976190476190477</v>
      </c>
    </row>
    <row r="49" spans="1:7" ht="12.75">
      <c r="A49" s="368" t="s">
        <v>382</v>
      </c>
      <c r="B49" s="369">
        <v>233</v>
      </c>
      <c r="C49" s="370">
        <v>0.3933333333333333</v>
      </c>
      <c r="D49" s="330">
        <v>30</v>
      </c>
      <c r="E49" s="330">
        <v>60</v>
      </c>
      <c r="F49" s="112">
        <f>D49/E49</f>
        <v>0.5</v>
      </c>
      <c r="G49" s="113">
        <f t="shared" si="2"/>
        <v>0.7866666666666666</v>
      </c>
    </row>
    <row r="50" spans="1:7" ht="12.75">
      <c r="A50" s="368" t="s">
        <v>487</v>
      </c>
      <c r="B50" s="369">
        <v>169</v>
      </c>
      <c r="C50" s="370">
        <v>0.7817460317460317</v>
      </c>
      <c r="D50" s="372"/>
      <c r="E50" s="372"/>
      <c r="F50" s="112">
        <v>1</v>
      </c>
      <c r="G50" s="113">
        <f t="shared" si="2"/>
        <v>0.7817460317460317</v>
      </c>
    </row>
    <row r="51" spans="1:7" ht="12.75">
      <c r="A51" s="368" t="s">
        <v>441</v>
      </c>
      <c r="B51" s="369">
        <v>4</v>
      </c>
      <c r="C51" s="370">
        <v>0.780952380952381</v>
      </c>
      <c r="D51" s="330"/>
      <c r="E51" s="330"/>
      <c r="F51" s="112">
        <v>1</v>
      </c>
      <c r="G51" s="113">
        <f t="shared" si="2"/>
        <v>0.780952380952381</v>
      </c>
    </row>
    <row r="52" spans="1:7" ht="12.75">
      <c r="A52" s="368" t="s">
        <v>503</v>
      </c>
      <c r="B52" s="369">
        <v>253</v>
      </c>
      <c r="C52" s="370">
        <v>0.7738095238095238</v>
      </c>
      <c r="D52" s="372"/>
      <c r="E52" s="372"/>
      <c r="F52" s="112">
        <v>1</v>
      </c>
      <c r="G52" s="113">
        <f t="shared" si="2"/>
        <v>0.7738095238095238</v>
      </c>
    </row>
    <row r="53" spans="1:7" ht="12.75">
      <c r="A53" s="368" t="s">
        <v>555</v>
      </c>
      <c r="B53" s="369">
        <v>914</v>
      </c>
      <c r="C53" s="370">
        <v>0.7666666666666667</v>
      </c>
      <c r="D53" s="372"/>
      <c r="E53" s="372"/>
      <c r="F53" s="112">
        <v>1</v>
      </c>
      <c r="G53" s="113">
        <f t="shared" si="2"/>
        <v>0.7666666666666667</v>
      </c>
    </row>
    <row r="54" spans="1:7" ht="12.75">
      <c r="A54" s="368" t="s">
        <v>500</v>
      </c>
      <c r="B54" s="369">
        <v>14</v>
      </c>
      <c r="C54" s="370">
        <v>0.7619047619047619</v>
      </c>
      <c r="D54" s="330"/>
      <c r="E54" s="330"/>
      <c r="F54" s="112">
        <v>1</v>
      </c>
      <c r="G54" s="113">
        <f t="shared" si="2"/>
        <v>0.7619047619047619</v>
      </c>
    </row>
    <row r="55" spans="1:7" ht="12.75">
      <c r="A55" s="368" t="s">
        <v>457</v>
      </c>
      <c r="B55" s="369">
        <v>48</v>
      </c>
      <c r="C55" s="370">
        <v>0.5054401582591493</v>
      </c>
      <c r="D55" s="330">
        <v>10</v>
      </c>
      <c r="E55" s="330">
        <v>15</v>
      </c>
      <c r="F55" s="112">
        <f>D55/E55</f>
        <v>0.6666666666666666</v>
      </c>
      <c r="G55" s="113">
        <f t="shared" si="2"/>
        <v>0.7581602373887241</v>
      </c>
    </row>
    <row r="56" spans="1:7" ht="12.75">
      <c r="A56" s="368" t="s">
        <v>480</v>
      </c>
      <c r="B56" s="369">
        <v>11</v>
      </c>
      <c r="C56" s="370">
        <v>0.7536496350364964</v>
      </c>
      <c r="D56" s="330"/>
      <c r="E56" s="330"/>
      <c r="F56" s="112">
        <v>1</v>
      </c>
      <c r="G56" s="113">
        <f t="shared" si="2"/>
        <v>0.7536496350364964</v>
      </c>
    </row>
    <row r="57" spans="1:7" ht="12.75">
      <c r="A57" s="368" t="s">
        <v>491</v>
      </c>
      <c r="B57" s="369">
        <v>194</v>
      </c>
      <c r="C57" s="370">
        <v>0.7485207100591716</v>
      </c>
      <c r="D57" s="372"/>
      <c r="E57" s="372"/>
      <c r="F57" s="112">
        <v>1</v>
      </c>
      <c r="G57" s="113">
        <f t="shared" si="2"/>
        <v>0.7485207100591716</v>
      </c>
    </row>
    <row r="58" spans="1:7" ht="12.75">
      <c r="A58" s="368" t="s">
        <v>495</v>
      </c>
      <c r="B58" s="369">
        <v>348</v>
      </c>
      <c r="C58" s="370">
        <v>0.7388888888888889</v>
      </c>
      <c r="D58" s="372"/>
      <c r="E58" s="372"/>
      <c r="F58" s="112">
        <f>30/30</f>
        <v>1</v>
      </c>
      <c r="G58" s="113">
        <f t="shared" si="2"/>
        <v>0.7388888888888889</v>
      </c>
    </row>
    <row r="59" spans="1:8" ht="12.75">
      <c r="A59" s="373" t="s">
        <v>88</v>
      </c>
      <c r="B59" s="369">
        <v>5</v>
      </c>
      <c r="C59" s="370">
        <v>0.5963541666666666</v>
      </c>
      <c r="D59" s="372">
        <v>30</v>
      </c>
      <c r="E59" s="372">
        <v>60</v>
      </c>
      <c r="F59" s="112">
        <f>D59/E59</f>
        <v>0.5</v>
      </c>
      <c r="G59" s="113">
        <f>C59*0.5/F59</f>
        <v>0.5963541666666666</v>
      </c>
      <c r="H59" s="120" t="s">
        <v>608</v>
      </c>
    </row>
    <row r="60" spans="1:7" ht="12.75">
      <c r="A60" s="368" t="s">
        <v>463</v>
      </c>
      <c r="B60" s="369">
        <v>5</v>
      </c>
      <c r="C60" s="370">
        <v>0.728494623655914</v>
      </c>
      <c r="D60" s="330"/>
      <c r="E60" s="330"/>
      <c r="F60" s="112">
        <v>1</v>
      </c>
      <c r="G60" s="113">
        <f t="shared" si="2"/>
        <v>0.728494623655914</v>
      </c>
    </row>
    <row r="61" spans="1:7" ht="12.75">
      <c r="A61" s="368" t="s">
        <v>507</v>
      </c>
      <c r="B61" s="369">
        <v>903</v>
      </c>
      <c r="C61" s="370">
        <v>0.7222222222222222</v>
      </c>
      <c r="D61" s="372"/>
      <c r="E61" s="372"/>
      <c r="F61" s="112">
        <v>1</v>
      </c>
      <c r="G61" s="113">
        <f t="shared" si="2"/>
        <v>0.7222222222222222</v>
      </c>
    </row>
    <row r="62" spans="1:7" ht="12.75">
      <c r="A62" s="368" t="s">
        <v>481</v>
      </c>
      <c r="B62" s="369">
        <v>13</v>
      </c>
      <c r="C62" s="370">
        <v>0.7182539682539683</v>
      </c>
      <c r="D62" s="330"/>
      <c r="E62" s="330"/>
      <c r="F62" s="112">
        <v>1</v>
      </c>
      <c r="G62" s="113">
        <f t="shared" si="2"/>
        <v>0.7182539682539683</v>
      </c>
    </row>
    <row r="63" spans="1:7" ht="12.75">
      <c r="A63" s="368" t="s">
        <v>512</v>
      </c>
      <c r="B63" s="369">
        <v>150</v>
      </c>
      <c r="C63" s="370">
        <v>0.714516129032258</v>
      </c>
      <c r="D63" s="372"/>
      <c r="E63" s="372"/>
      <c r="F63" s="112">
        <v>1</v>
      </c>
      <c r="G63" s="113">
        <f t="shared" si="2"/>
        <v>0.714516129032258</v>
      </c>
    </row>
    <row r="64" spans="1:7" ht="12.75">
      <c r="A64" s="368" t="s">
        <v>467</v>
      </c>
      <c r="B64" s="369">
        <v>17</v>
      </c>
      <c r="C64" s="370">
        <v>0.7023809523809523</v>
      </c>
      <c r="D64" s="330">
        <v>8</v>
      </c>
      <c r="E64" s="330">
        <v>60</v>
      </c>
      <c r="F64" s="112">
        <f>D64/E64</f>
        <v>0.13333333333333333</v>
      </c>
      <c r="G64" s="113">
        <f t="shared" si="2"/>
        <v>5.267857142857142</v>
      </c>
    </row>
    <row r="65" spans="1:7" ht="12.75">
      <c r="A65" s="368" t="s">
        <v>475</v>
      </c>
      <c r="B65" s="369">
        <v>55</v>
      </c>
      <c r="C65" s="370">
        <v>0.6986301369863014</v>
      </c>
      <c r="D65" s="330"/>
      <c r="E65" s="330"/>
      <c r="F65" s="112">
        <v>1</v>
      </c>
      <c r="G65" s="113">
        <f t="shared" si="2"/>
        <v>0.6986301369863014</v>
      </c>
    </row>
    <row r="66" spans="1:7" ht="12.75">
      <c r="A66" s="368" t="s">
        <v>483</v>
      </c>
      <c r="B66" s="369">
        <v>2</v>
      </c>
      <c r="C66" s="370">
        <v>0.6984126984126984</v>
      </c>
      <c r="D66" s="330"/>
      <c r="E66" s="330"/>
      <c r="F66" s="112">
        <v>1</v>
      </c>
      <c r="G66" s="113">
        <f t="shared" si="2"/>
        <v>0.6984126984126984</v>
      </c>
    </row>
    <row r="67" spans="1:7" ht="12.75">
      <c r="A67" s="368" t="s">
        <v>493</v>
      </c>
      <c r="B67" s="369">
        <v>24</v>
      </c>
      <c r="C67" s="370">
        <v>0.6955017301038062</v>
      </c>
      <c r="D67" s="330"/>
      <c r="E67" s="330"/>
      <c r="F67" s="112">
        <v>1</v>
      </c>
      <c r="G67" s="113">
        <f t="shared" si="2"/>
        <v>0.6955017301038062</v>
      </c>
    </row>
    <row r="68" spans="1:7" ht="12.75">
      <c r="A68" s="368" t="s">
        <v>504</v>
      </c>
      <c r="B68" s="369">
        <v>65</v>
      </c>
      <c r="C68" s="370">
        <v>0.6921768707482994</v>
      </c>
      <c r="D68" s="372">
        <v>15</v>
      </c>
      <c r="E68" s="372">
        <v>30</v>
      </c>
      <c r="F68" s="112">
        <f>D68/E68</f>
        <v>0.5</v>
      </c>
      <c r="G68" s="113">
        <f t="shared" si="2"/>
        <v>1.3843537414965987</v>
      </c>
    </row>
    <row r="69" spans="1:7" ht="12.75">
      <c r="A69" s="368" t="s">
        <v>489</v>
      </c>
      <c r="B69" s="369">
        <v>30</v>
      </c>
      <c r="C69" s="370">
        <v>0.680952380952381</v>
      </c>
      <c r="D69" s="330">
        <v>30</v>
      </c>
      <c r="E69" s="330">
        <v>60</v>
      </c>
      <c r="F69" s="112">
        <f>D69/E69</f>
        <v>0.5</v>
      </c>
      <c r="G69" s="113">
        <f aca="true" t="shared" si="3" ref="G69:G101">C69/F69</f>
        <v>1.361904761904762</v>
      </c>
    </row>
    <row r="70" spans="1:7" ht="12.75">
      <c r="A70" s="368" t="s">
        <v>499</v>
      </c>
      <c r="B70" s="369">
        <v>230</v>
      </c>
      <c r="C70" s="370">
        <v>0.6706349206349206</v>
      </c>
      <c r="D70" s="372"/>
      <c r="E70" s="372"/>
      <c r="F70" s="112">
        <v>1</v>
      </c>
      <c r="G70" s="113">
        <f t="shared" si="3"/>
        <v>0.6706349206349206</v>
      </c>
    </row>
    <row r="71" spans="1:7" ht="12.75">
      <c r="A71" s="368" t="s">
        <v>482</v>
      </c>
      <c r="B71" s="369">
        <v>131</v>
      </c>
      <c r="C71" s="370">
        <v>0.6666666666666666</v>
      </c>
      <c r="D71" s="372"/>
      <c r="E71" s="372"/>
      <c r="F71" s="112">
        <v>1</v>
      </c>
      <c r="G71" s="113">
        <f t="shared" si="3"/>
        <v>0.6666666666666666</v>
      </c>
    </row>
    <row r="72" spans="1:7" ht="12.75">
      <c r="A72" s="368" t="s">
        <v>502</v>
      </c>
      <c r="B72" s="369">
        <v>221</v>
      </c>
      <c r="C72" s="370">
        <v>0.3333333333333333</v>
      </c>
      <c r="D72" s="330">
        <v>30</v>
      </c>
      <c r="E72" s="330">
        <v>60</v>
      </c>
      <c r="F72" s="112">
        <f>D72/E72</f>
        <v>0.5</v>
      </c>
      <c r="G72" s="113">
        <f t="shared" si="3"/>
        <v>0.6666666666666666</v>
      </c>
    </row>
    <row r="73" spans="1:7" ht="12.75">
      <c r="A73" s="368" t="s">
        <v>479</v>
      </c>
      <c r="B73" s="369">
        <v>331</v>
      </c>
      <c r="C73" s="370">
        <v>0.6555555555555556</v>
      </c>
      <c r="D73" s="372">
        <v>20</v>
      </c>
      <c r="E73" s="372">
        <v>60</v>
      </c>
      <c r="F73" s="112">
        <f>D73/E73</f>
        <v>0.3333333333333333</v>
      </c>
      <c r="G73" s="113">
        <f t="shared" si="3"/>
        <v>1.9666666666666668</v>
      </c>
    </row>
    <row r="74" spans="1:7" ht="12.75">
      <c r="A74" s="368" t="s">
        <v>498</v>
      </c>
      <c r="B74" s="369">
        <v>128</v>
      </c>
      <c r="C74" s="370">
        <v>0.6507936507936508</v>
      </c>
      <c r="D74" s="372"/>
      <c r="E74" s="372"/>
      <c r="F74" s="112">
        <v>1</v>
      </c>
      <c r="G74" s="113">
        <f t="shared" si="3"/>
        <v>0.6507936507936508</v>
      </c>
    </row>
    <row r="75" spans="1:7" ht="12.75">
      <c r="A75" s="368" t="s">
        <v>497</v>
      </c>
      <c r="B75" s="369">
        <v>49</v>
      </c>
      <c r="C75" s="370">
        <v>0.6443452380952381</v>
      </c>
      <c r="D75" s="330"/>
      <c r="E75" s="330"/>
      <c r="F75" s="112">
        <v>1</v>
      </c>
      <c r="G75" s="113">
        <f t="shared" si="3"/>
        <v>0.6443452380952381</v>
      </c>
    </row>
    <row r="76" spans="1:7" ht="12.75">
      <c r="A76" s="368" t="s">
        <v>520</v>
      </c>
      <c r="B76" s="369">
        <v>345</v>
      </c>
      <c r="C76" s="370">
        <v>0.6388888888888888</v>
      </c>
      <c r="D76" s="372"/>
      <c r="E76" s="372"/>
      <c r="F76" s="112">
        <v>1</v>
      </c>
      <c r="G76" s="113">
        <f t="shared" si="3"/>
        <v>0.6388888888888888</v>
      </c>
    </row>
    <row r="77" spans="1:7" ht="12.75">
      <c r="A77" s="368" t="s">
        <v>517</v>
      </c>
      <c r="B77" s="369">
        <v>347</v>
      </c>
      <c r="C77" s="370">
        <v>0.6388888888888888</v>
      </c>
      <c r="D77" s="372">
        <v>30</v>
      </c>
      <c r="E77" s="372">
        <v>60</v>
      </c>
      <c r="F77" s="112">
        <f>D77/E77</f>
        <v>0.5</v>
      </c>
      <c r="G77" s="113">
        <f t="shared" si="3"/>
        <v>1.2777777777777777</v>
      </c>
    </row>
    <row r="78" spans="1:7" ht="12.75">
      <c r="A78" s="368" t="s">
        <v>472</v>
      </c>
      <c r="B78" s="369">
        <v>1</v>
      </c>
      <c r="C78" s="370">
        <v>0.6296296296296297</v>
      </c>
      <c r="D78" s="330"/>
      <c r="E78" s="330"/>
      <c r="F78" s="112">
        <v>1</v>
      </c>
      <c r="G78" s="113">
        <f t="shared" si="3"/>
        <v>0.6296296296296297</v>
      </c>
    </row>
    <row r="79" spans="1:7" ht="12.75">
      <c r="A79" s="368" t="s">
        <v>530</v>
      </c>
      <c r="B79" s="369">
        <v>236</v>
      </c>
      <c r="C79" s="370">
        <v>0.3108108108108108</v>
      </c>
      <c r="D79" s="330">
        <v>30</v>
      </c>
      <c r="E79" s="330">
        <v>60</v>
      </c>
      <c r="F79" s="112">
        <f>D79/E79</f>
        <v>0.5</v>
      </c>
      <c r="G79" s="113">
        <f t="shared" si="3"/>
        <v>0.6216216216216216</v>
      </c>
    </row>
    <row r="80" spans="1:7" ht="12.75">
      <c r="A80" s="368" t="s">
        <v>548</v>
      </c>
      <c r="B80" s="369">
        <v>204</v>
      </c>
      <c r="C80" s="370">
        <v>0.6111111111111112</v>
      </c>
      <c r="D80" s="372"/>
      <c r="E80" s="372"/>
      <c r="F80" s="112">
        <v>1</v>
      </c>
      <c r="G80" s="113">
        <f t="shared" si="3"/>
        <v>0.6111111111111112</v>
      </c>
    </row>
    <row r="81" spans="1:7" ht="12.75">
      <c r="A81" s="368" t="s">
        <v>380</v>
      </c>
      <c r="B81" s="369">
        <v>27</v>
      </c>
      <c r="C81" s="370">
        <v>0.6037735849056604</v>
      </c>
      <c r="D81" s="330"/>
      <c r="E81" s="330"/>
      <c r="F81" s="112">
        <v>1</v>
      </c>
      <c r="G81" s="113">
        <f t="shared" si="3"/>
        <v>0.6037735849056604</v>
      </c>
    </row>
    <row r="82" spans="1:7" ht="12.75">
      <c r="A82" s="368" t="s">
        <v>474</v>
      </c>
      <c r="B82" s="369">
        <v>33</v>
      </c>
      <c r="C82" s="370">
        <v>0.6024096385542169</v>
      </c>
      <c r="D82" s="330">
        <v>15</v>
      </c>
      <c r="E82" s="330">
        <v>30</v>
      </c>
      <c r="F82" s="112">
        <f>D82/E82</f>
        <v>0.5</v>
      </c>
      <c r="G82" s="113">
        <f t="shared" si="3"/>
        <v>1.2048192771084338</v>
      </c>
    </row>
    <row r="83" spans="1:7" ht="12.75">
      <c r="A83" s="368" t="s">
        <v>379</v>
      </c>
      <c r="B83" s="369">
        <v>9</v>
      </c>
      <c r="C83" s="370">
        <v>0.6012269938650306</v>
      </c>
      <c r="D83" s="330">
        <v>20</v>
      </c>
      <c r="E83" s="330">
        <v>30</v>
      </c>
      <c r="F83" s="112">
        <f>D83/E83</f>
        <v>0.6666666666666666</v>
      </c>
      <c r="G83" s="113">
        <f t="shared" si="3"/>
        <v>0.901840490797546</v>
      </c>
    </row>
    <row r="84" spans="1:7" ht="12.75">
      <c r="A84" s="368" t="s">
        <v>514</v>
      </c>
      <c r="B84" s="369">
        <v>21</v>
      </c>
      <c r="C84" s="370">
        <v>0.6</v>
      </c>
      <c r="D84" s="330"/>
      <c r="E84" s="330"/>
      <c r="F84" s="112">
        <v>1</v>
      </c>
      <c r="G84" s="113">
        <f t="shared" si="3"/>
        <v>0.6</v>
      </c>
    </row>
    <row r="85" spans="1:7" ht="12.75">
      <c r="A85" s="368" t="s">
        <v>537</v>
      </c>
      <c r="B85" s="369">
        <v>919</v>
      </c>
      <c r="C85" s="370">
        <v>0.6</v>
      </c>
      <c r="D85" s="372"/>
      <c r="E85" s="372"/>
      <c r="F85" s="112">
        <v>1</v>
      </c>
      <c r="G85" s="113">
        <f t="shared" si="3"/>
        <v>0.6</v>
      </c>
    </row>
    <row r="86" spans="1:7" ht="12.75">
      <c r="A86" s="368" t="s">
        <v>494</v>
      </c>
      <c r="B86" s="369">
        <v>107</v>
      </c>
      <c r="C86" s="370">
        <v>0.5895061728395061</v>
      </c>
      <c r="D86" s="372"/>
      <c r="E86" s="372"/>
      <c r="F86" s="112">
        <v>1</v>
      </c>
      <c r="G86" s="113">
        <f t="shared" si="3"/>
        <v>0.5895061728395061</v>
      </c>
    </row>
    <row r="87" spans="1:7" ht="12.75">
      <c r="A87" s="368" t="s">
        <v>368</v>
      </c>
      <c r="B87" s="369">
        <v>901</v>
      </c>
      <c r="C87" s="370">
        <v>0.5888888888888889</v>
      </c>
      <c r="D87" s="372"/>
      <c r="E87" s="372"/>
      <c r="F87" s="112">
        <v>1</v>
      </c>
      <c r="G87" s="113">
        <f t="shared" si="3"/>
        <v>0.5888888888888889</v>
      </c>
    </row>
    <row r="88" spans="1:7" ht="12.75">
      <c r="A88" s="368" t="s">
        <v>556</v>
      </c>
      <c r="B88" s="369">
        <v>46</v>
      </c>
      <c r="C88" s="370">
        <v>0.5885714285714285</v>
      </c>
      <c r="D88" s="372"/>
      <c r="E88" s="372"/>
      <c r="F88" s="112">
        <v>1</v>
      </c>
      <c r="G88" s="113">
        <f t="shared" si="3"/>
        <v>0.5885714285714285</v>
      </c>
    </row>
    <row r="89" spans="1:7" ht="12.75">
      <c r="A89" s="368" t="s">
        <v>519</v>
      </c>
      <c r="B89" s="369">
        <v>166</v>
      </c>
      <c r="C89" s="370">
        <v>0.5833333333333334</v>
      </c>
      <c r="D89" s="372"/>
      <c r="E89" s="372"/>
      <c r="F89" s="112">
        <v>1</v>
      </c>
      <c r="G89" s="113">
        <f t="shared" si="3"/>
        <v>0.5833333333333334</v>
      </c>
    </row>
    <row r="90" spans="1:7" ht="12.75">
      <c r="A90" s="368" t="s">
        <v>492</v>
      </c>
      <c r="B90" s="369">
        <v>132</v>
      </c>
      <c r="C90" s="370">
        <v>0.5789473684210527</v>
      </c>
      <c r="D90" s="372"/>
      <c r="E90" s="372"/>
      <c r="F90" s="112">
        <v>1</v>
      </c>
      <c r="G90" s="113">
        <f t="shared" si="3"/>
        <v>0.5789473684210527</v>
      </c>
    </row>
    <row r="91" spans="1:7" ht="12.75">
      <c r="A91" s="368" t="s">
        <v>496</v>
      </c>
      <c r="B91" s="369">
        <v>67</v>
      </c>
      <c r="C91" s="370">
        <v>0.578838174273859</v>
      </c>
      <c r="D91" s="372">
        <v>15</v>
      </c>
      <c r="E91" s="372">
        <v>30</v>
      </c>
      <c r="F91" s="112">
        <f>D91/E91</f>
        <v>0.5</v>
      </c>
      <c r="G91" s="113">
        <f t="shared" si="3"/>
        <v>1.157676348547718</v>
      </c>
    </row>
    <row r="92" spans="1:7" ht="12.75">
      <c r="A92" s="368" t="s">
        <v>516</v>
      </c>
      <c r="B92" s="369">
        <v>105</v>
      </c>
      <c r="C92" s="370">
        <v>0.5595238095238095</v>
      </c>
      <c r="D92" s="372"/>
      <c r="E92" s="372"/>
      <c r="F92" s="112">
        <v>1</v>
      </c>
      <c r="G92" s="113">
        <f t="shared" si="3"/>
        <v>0.5595238095238095</v>
      </c>
    </row>
    <row r="93" spans="1:7" ht="12.75">
      <c r="A93" s="368" t="s">
        <v>525</v>
      </c>
      <c r="B93" s="369">
        <v>346</v>
      </c>
      <c r="C93" s="370">
        <v>0.5555555555555556</v>
      </c>
      <c r="D93" s="372"/>
      <c r="E93" s="372"/>
      <c r="F93" s="112">
        <v>1</v>
      </c>
      <c r="G93" s="113">
        <f t="shared" si="3"/>
        <v>0.5555555555555556</v>
      </c>
    </row>
    <row r="94" spans="1:7" ht="12.75">
      <c r="A94" s="368" t="s">
        <v>390</v>
      </c>
      <c r="B94" s="369">
        <v>28</v>
      </c>
      <c r="C94" s="370">
        <v>0.521875</v>
      </c>
      <c r="D94" s="372"/>
      <c r="E94" s="372"/>
      <c r="F94" s="112">
        <v>1</v>
      </c>
      <c r="G94" s="113">
        <f t="shared" si="3"/>
        <v>0.521875</v>
      </c>
    </row>
    <row r="95" spans="1:8" ht="12.75">
      <c r="A95" s="368" t="s">
        <v>131</v>
      </c>
      <c r="B95" s="369">
        <v>28</v>
      </c>
      <c r="C95" s="370">
        <v>0.521875</v>
      </c>
      <c r="D95" s="372">
        <v>30</v>
      </c>
      <c r="E95" s="372">
        <v>60</v>
      </c>
      <c r="F95" s="112">
        <f>D95/E95</f>
        <v>0.5</v>
      </c>
      <c r="G95" s="113">
        <f>C95*0.5/F95</f>
        <v>0.521875</v>
      </c>
      <c r="H95" s="120" t="s">
        <v>735</v>
      </c>
    </row>
    <row r="96" spans="1:7" ht="12.75">
      <c r="A96" s="368" t="s">
        <v>557</v>
      </c>
      <c r="B96" s="369">
        <v>119</v>
      </c>
      <c r="C96" s="370">
        <v>0.5147058823529411</v>
      </c>
      <c r="D96" s="372"/>
      <c r="E96" s="372"/>
      <c r="F96" s="112">
        <v>1</v>
      </c>
      <c r="G96" s="113">
        <f t="shared" si="3"/>
        <v>0.5147058823529411</v>
      </c>
    </row>
    <row r="97" spans="1:7" ht="12.75">
      <c r="A97" s="368" t="s">
        <v>369</v>
      </c>
      <c r="B97" s="369">
        <v>183</v>
      </c>
      <c r="C97" s="370">
        <v>0.5123456790123457</v>
      </c>
      <c r="D97" s="372">
        <v>30</v>
      </c>
      <c r="E97" s="371">
        <v>15</v>
      </c>
      <c r="F97" s="112">
        <f>D97/E97</f>
        <v>2</v>
      </c>
      <c r="G97" s="113">
        <f t="shared" si="3"/>
        <v>0.25617283950617287</v>
      </c>
    </row>
    <row r="98" spans="1:7" ht="12.75">
      <c r="A98" s="368" t="s">
        <v>535</v>
      </c>
      <c r="B98" s="369">
        <v>181</v>
      </c>
      <c r="C98" s="370">
        <v>0.5119047619047619</v>
      </c>
      <c r="D98" s="372"/>
      <c r="E98" s="372"/>
      <c r="F98" s="112">
        <v>1</v>
      </c>
      <c r="G98" s="113">
        <f t="shared" si="3"/>
        <v>0.5119047619047619</v>
      </c>
    </row>
    <row r="99" spans="1:7" ht="12.75">
      <c r="A99" s="368" t="s">
        <v>526</v>
      </c>
      <c r="B99" s="369">
        <v>917</v>
      </c>
      <c r="C99" s="370">
        <v>0.5111111111111111</v>
      </c>
      <c r="D99" s="372"/>
      <c r="E99" s="372"/>
      <c r="F99" s="112">
        <v>1</v>
      </c>
      <c r="G99" s="113">
        <f t="shared" si="3"/>
        <v>0.5111111111111111</v>
      </c>
    </row>
    <row r="100" spans="1:7" ht="12.75">
      <c r="A100" s="368" t="s">
        <v>505</v>
      </c>
      <c r="B100" s="369">
        <v>148</v>
      </c>
      <c r="C100" s="370">
        <v>0.5098039215686274</v>
      </c>
      <c r="D100" s="372"/>
      <c r="E100" s="372"/>
      <c r="F100" s="112">
        <v>1</v>
      </c>
      <c r="G100" s="113">
        <f t="shared" si="3"/>
        <v>0.5098039215686274</v>
      </c>
    </row>
    <row r="101" spans="1:7" ht="12.75">
      <c r="A101" s="368" t="s">
        <v>510</v>
      </c>
      <c r="B101" s="369">
        <v>921</v>
      </c>
      <c r="C101" s="370">
        <v>0.5092592592592593</v>
      </c>
      <c r="D101" s="372">
        <v>30</v>
      </c>
      <c r="E101" s="371">
        <v>60</v>
      </c>
      <c r="F101" s="112">
        <f>D101/E101</f>
        <v>0.5</v>
      </c>
      <c r="G101" s="113">
        <f t="shared" si="3"/>
        <v>1.0185185185185186</v>
      </c>
    </row>
    <row r="102" spans="1:7" ht="12.75">
      <c r="A102" s="368" t="s">
        <v>506</v>
      </c>
      <c r="B102" s="369">
        <v>174</v>
      </c>
      <c r="C102" s="370">
        <v>0.5078369905956113</v>
      </c>
      <c r="D102" s="372"/>
      <c r="E102" s="372"/>
      <c r="F102" s="112">
        <v>1</v>
      </c>
      <c r="G102" s="113">
        <f aca="true" t="shared" si="4" ref="G102:G133">C102/F102</f>
        <v>0.5078369905956113</v>
      </c>
    </row>
    <row r="103" spans="1:7" ht="12.75">
      <c r="A103" s="368" t="s">
        <v>511</v>
      </c>
      <c r="B103" s="369">
        <v>8</v>
      </c>
      <c r="C103" s="370">
        <v>0.494949494949495</v>
      </c>
      <c r="D103" s="330"/>
      <c r="E103" s="330"/>
      <c r="F103" s="112">
        <v>1</v>
      </c>
      <c r="G103" s="113">
        <f t="shared" si="4"/>
        <v>0.494949494949495</v>
      </c>
    </row>
    <row r="104" spans="1:7" ht="12.75">
      <c r="A104" s="129" t="s">
        <v>470</v>
      </c>
      <c r="B104" s="130">
        <v>3</v>
      </c>
      <c r="C104" s="131">
        <v>0.49206349206349204</v>
      </c>
      <c r="D104" s="330"/>
      <c r="E104" s="330"/>
      <c r="F104" s="112">
        <v>1</v>
      </c>
      <c r="G104" s="113">
        <f t="shared" si="4"/>
        <v>0.49206349206349204</v>
      </c>
    </row>
    <row r="105" spans="1:7" ht="12.75">
      <c r="A105" s="125" t="s">
        <v>383</v>
      </c>
      <c r="B105" s="126">
        <v>249</v>
      </c>
      <c r="C105" s="127">
        <v>0.49074074074074076</v>
      </c>
      <c r="F105" s="112">
        <v>1</v>
      </c>
      <c r="G105" s="113">
        <f t="shared" si="4"/>
        <v>0.49074074074074076</v>
      </c>
    </row>
    <row r="106" spans="1:7" ht="12.75">
      <c r="A106" s="125" t="s">
        <v>490</v>
      </c>
      <c r="B106" s="126">
        <v>14</v>
      </c>
      <c r="C106" s="127">
        <v>0.4857142857142857</v>
      </c>
      <c r="D106" s="330"/>
      <c r="E106" s="330"/>
      <c r="F106" s="112">
        <v>1</v>
      </c>
      <c r="G106" s="113">
        <f t="shared" si="4"/>
        <v>0.4857142857142857</v>
      </c>
    </row>
    <row r="107" spans="1:7" ht="12.75">
      <c r="A107" s="125" t="s">
        <v>473</v>
      </c>
      <c r="B107" s="126">
        <v>70</v>
      </c>
      <c r="C107" s="127">
        <v>0.48412698412698413</v>
      </c>
      <c r="F107" s="112">
        <v>1</v>
      </c>
      <c r="G107" s="113">
        <f t="shared" si="4"/>
        <v>0.48412698412698413</v>
      </c>
    </row>
    <row r="108" spans="1:7" ht="12.75">
      <c r="A108" s="125" t="s">
        <v>513</v>
      </c>
      <c r="B108" s="126">
        <v>12</v>
      </c>
      <c r="C108" s="127">
        <v>0.47278911564625853</v>
      </c>
      <c r="D108" s="330"/>
      <c r="E108" s="330"/>
      <c r="F108" s="112">
        <v>1</v>
      </c>
      <c r="G108" s="113">
        <f t="shared" si="4"/>
        <v>0.47278911564625853</v>
      </c>
    </row>
    <row r="109" spans="1:7" ht="12.75">
      <c r="A109" s="125" t="s">
        <v>508</v>
      </c>
      <c r="B109" s="126">
        <v>240</v>
      </c>
      <c r="C109" s="127">
        <v>0.46825396825396826</v>
      </c>
      <c r="F109" s="112">
        <v>1</v>
      </c>
      <c r="G109" s="113">
        <f t="shared" si="4"/>
        <v>0.46825396825396826</v>
      </c>
    </row>
    <row r="110" spans="1:7" ht="12.75">
      <c r="A110" s="125" t="s">
        <v>374</v>
      </c>
      <c r="B110" s="126">
        <v>155</v>
      </c>
      <c r="C110" s="127">
        <v>0.4666666666666667</v>
      </c>
      <c r="F110" s="112">
        <v>1</v>
      </c>
      <c r="G110" s="113">
        <f t="shared" si="4"/>
        <v>0.4666666666666667</v>
      </c>
    </row>
    <row r="111" spans="1:7" ht="12.75">
      <c r="A111" s="125" t="s">
        <v>545</v>
      </c>
      <c r="B111" s="126">
        <v>194</v>
      </c>
      <c r="C111" s="127">
        <v>0.4642857142857143</v>
      </c>
      <c r="F111" s="112">
        <v>1</v>
      </c>
      <c r="G111" s="113">
        <f t="shared" si="4"/>
        <v>0.4642857142857143</v>
      </c>
    </row>
    <row r="112" spans="1:7" ht="12.75">
      <c r="A112" s="125" t="s">
        <v>370</v>
      </c>
      <c r="B112" s="126">
        <v>153</v>
      </c>
      <c r="C112" s="127">
        <v>0.4567901234567901</v>
      </c>
      <c r="F112" s="112">
        <v>1</v>
      </c>
      <c r="G112" s="113">
        <f t="shared" si="4"/>
        <v>0.4567901234567901</v>
      </c>
    </row>
    <row r="113" spans="1:7" ht="12.75">
      <c r="A113" s="125" t="s">
        <v>542</v>
      </c>
      <c r="B113" s="126">
        <v>140</v>
      </c>
      <c r="C113" s="127">
        <v>0.44642857142857145</v>
      </c>
      <c r="F113" s="112">
        <v>1</v>
      </c>
      <c r="G113" s="113">
        <f t="shared" si="4"/>
        <v>0.44642857142857145</v>
      </c>
    </row>
    <row r="114" spans="1:7" ht="12.75">
      <c r="A114" s="125" t="s">
        <v>540</v>
      </c>
      <c r="B114" s="126">
        <v>230</v>
      </c>
      <c r="C114" s="127">
        <v>0.4444444444444444</v>
      </c>
      <c r="F114" s="112">
        <v>1</v>
      </c>
      <c r="G114" s="113">
        <f t="shared" si="4"/>
        <v>0.4444444444444444</v>
      </c>
    </row>
    <row r="115" spans="1:7" ht="12.75">
      <c r="A115" s="125" t="s">
        <v>527</v>
      </c>
      <c r="B115" s="126">
        <v>23</v>
      </c>
      <c r="C115" s="127">
        <v>0.4401041666666667</v>
      </c>
      <c r="D115" s="330"/>
      <c r="E115" s="330"/>
      <c r="F115" s="112">
        <v>1</v>
      </c>
      <c r="G115" s="113">
        <f t="shared" si="4"/>
        <v>0.4401041666666667</v>
      </c>
    </row>
    <row r="116" spans="1:7" ht="12.75">
      <c r="A116" s="125" t="s">
        <v>521</v>
      </c>
      <c r="B116" s="126">
        <v>915</v>
      </c>
      <c r="C116" s="127">
        <v>0.42857142857142855</v>
      </c>
      <c r="F116" s="112">
        <v>1</v>
      </c>
      <c r="G116" s="113">
        <f t="shared" si="4"/>
        <v>0.42857142857142855</v>
      </c>
    </row>
    <row r="117" spans="1:7" ht="12.75">
      <c r="A117" s="125" t="s">
        <v>378</v>
      </c>
      <c r="B117" s="126">
        <v>39</v>
      </c>
      <c r="C117" s="127">
        <v>0.417910447761194</v>
      </c>
      <c r="D117" s="330">
        <v>20</v>
      </c>
      <c r="E117" s="330">
        <v>60</v>
      </c>
      <c r="F117" s="112">
        <f>D117/E117</f>
        <v>0.3333333333333333</v>
      </c>
      <c r="G117" s="113">
        <f t="shared" si="4"/>
        <v>1.2537313432835822</v>
      </c>
    </row>
    <row r="118" spans="1:7" ht="12.75">
      <c r="A118" s="125" t="s">
        <v>367</v>
      </c>
      <c r="B118" s="126">
        <v>187</v>
      </c>
      <c r="C118" s="127">
        <v>0.41358024691358025</v>
      </c>
      <c r="D118" s="331">
        <v>30</v>
      </c>
      <c r="E118" s="331">
        <v>60</v>
      </c>
      <c r="F118" s="112">
        <f>D118/E118</f>
        <v>0.5</v>
      </c>
      <c r="G118" s="113">
        <f t="shared" si="4"/>
        <v>0.8271604938271605</v>
      </c>
    </row>
    <row r="119" spans="1:7" ht="12.75">
      <c r="A119" s="125" t="s">
        <v>386</v>
      </c>
      <c r="B119" s="126">
        <v>25</v>
      </c>
      <c r="C119" s="127">
        <v>0.4114285714285714</v>
      </c>
      <c r="D119" s="330"/>
      <c r="E119" s="330"/>
      <c r="F119" s="112">
        <v>1</v>
      </c>
      <c r="G119" s="113">
        <f t="shared" si="4"/>
        <v>0.4114285714285714</v>
      </c>
    </row>
    <row r="120" spans="1:7" ht="12.75">
      <c r="A120" s="125" t="s">
        <v>523</v>
      </c>
      <c r="B120" s="126">
        <v>22</v>
      </c>
      <c r="C120" s="127">
        <v>0.3994252873563218</v>
      </c>
      <c r="D120" s="330"/>
      <c r="E120" s="330"/>
      <c r="F120" s="112">
        <v>1</v>
      </c>
      <c r="G120" s="113">
        <f t="shared" si="4"/>
        <v>0.3994252873563218</v>
      </c>
    </row>
    <row r="121" spans="1:7" ht="12.75">
      <c r="A121" s="125" t="s">
        <v>531</v>
      </c>
      <c r="B121" s="126">
        <v>238</v>
      </c>
      <c r="C121" s="127">
        <v>0.37777777777777777</v>
      </c>
      <c r="F121" s="112">
        <v>1</v>
      </c>
      <c r="G121" s="113">
        <f t="shared" si="4"/>
        <v>0.37777777777777777</v>
      </c>
    </row>
    <row r="122" spans="1:7" ht="12.75">
      <c r="A122" s="125" t="s">
        <v>375</v>
      </c>
      <c r="B122" s="126">
        <v>908</v>
      </c>
      <c r="C122" s="127">
        <v>0.37777777777777777</v>
      </c>
      <c r="F122" s="112">
        <v>1</v>
      </c>
      <c r="G122" s="113">
        <f t="shared" si="4"/>
        <v>0.37777777777777777</v>
      </c>
    </row>
    <row r="123" spans="1:7" ht="12.75">
      <c r="A123" s="125" t="s">
        <v>515</v>
      </c>
      <c r="B123" s="126">
        <v>118</v>
      </c>
      <c r="C123" s="127">
        <v>0.36764705882352944</v>
      </c>
      <c r="F123" s="112">
        <v>1</v>
      </c>
      <c r="G123" s="113">
        <f t="shared" si="4"/>
        <v>0.36764705882352944</v>
      </c>
    </row>
    <row r="124" spans="1:7" ht="12.75">
      <c r="A124" s="125" t="s">
        <v>528</v>
      </c>
      <c r="B124" s="126">
        <v>124</v>
      </c>
      <c r="C124" s="127">
        <v>0.3611111111111111</v>
      </c>
      <c r="F124" s="112">
        <v>1</v>
      </c>
      <c r="G124" s="113">
        <f t="shared" si="4"/>
        <v>0.3611111111111111</v>
      </c>
    </row>
    <row r="125" spans="1:7" ht="12.75">
      <c r="A125" s="125" t="s">
        <v>541</v>
      </c>
      <c r="B125" s="126">
        <v>200</v>
      </c>
      <c r="C125" s="127">
        <v>0.3611111111111111</v>
      </c>
      <c r="F125" s="112">
        <v>1</v>
      </c>
      <c r="G125" s="113">
        <f t="shared" si="4"/>
        <v>0.3611111111111111</v>
      </c>
    </row>
    <row r="126" spans="1:7" ht="12.75">
      <c r="A126" s="125" t="s">
        <v>376</v>
      </c>
      <c r="B126" s="126">
        <v>909</v>
      </c>
      <c r="C126" s="127">
        <v>0.3333333333333333</v>
      </c>
      <c r="F126" s="112">
        <v>1</v>
      </c>
      <c r="G126" s="113">
        <f t="shared" si="4"/>
        <v>0.3333333333333333</v>
      </c>
    </row>
    <row r="127" spans="1:7" ht="12.75">
      <c r="A127" s="125" t="s">
        <v>384</v>
      </c>
      <c r="B127" s="126">
        <v>251</v>
      </c>
      <c r="C127" s="127">
        <v>0.32222222222222224</v>
      </c>
      <c r="F127" s="112">
        <v>1</v>
      </c>
      <c r="G127" s="113">
        <f t="shared" si="4"/>
        <v>0.32222222222222224</v>
      </c>
    </row>
    <row r="128" spans="1:7" ht="12.75">
      <c r="A128" s="125" t="s">
        <v>532</v>
      </c>
      <c r="B128" s="126">
        <v>927</v>
      </c>
      <c r="C128" s="127">
        <v>0.3111111111111111</v>
      </c>
      <c r="F128" s="112">
        <v>1</v>
      </c>
      <c r="G128" s="113">
        <f t="shared" si="4"/>
        <v>0.3111111111111111</v>
      </c>
    </row>
    <row r="129" spans="1:7" ht="12.75">
      <c r="A129" s="125" t="s">
        <v>544</v>
      </c>
      <c r="B129" s="126">
        <v>182</v>
      </c>
      <c r="C129" s="127">
        <v>0.3045977011494253</v>
      </c>
      <c r="F129" s="112">
        <v>1</v>
      </c>
      <c r="G129" s="113">
        <f t="shared" si="4"/>
        <v>0.3045977011494253</v>
      </c>
    </row>
    <row r="130" spans="1:7" ht="12.75">
      <c r="A130" s="125" t="s">
        <v>371</v>
      </c>
      <c r="B130" s="126">
        <v>149</v>
      </c>
      <c r="C130" s="127">
        <v>0.3</v>
      </c>
      <c r="F130" s="112">
        <v>1</v>
      </c>
      <c r="G130" s="113">
        <f t="shared" si="4"/>
        <v>0.3</v>
      </c>
    </row>
    <row r="131" spans="1:7" ht="12.75">
      <c r="A131" s="125" t="s">
        <v>543</v>
      </c>
      <c r="B131" s="126">
        <v>203</v>
      </c>
      <c r="C131" s="127">
        <v>0.3</v>
      </c>
      <c r="F131" s="112">
        <v>1</v>
      </c>
      <c r="G131" s="113">
        <f t="shared" si="4"/>
        <v>0.3</v>
      </c>
    </row>
    <row r="132" spans="1:7" ht="12.75">
      <c r="A132" s="125" t="s">
        <v>538</v>
      </c>
      <c r="B132" s="126">
        <v>926</v>
      </c>
      <c r="C132" s="127">
        <v>0.28</v>
      </c>
      <c r="D132" s="331">
        <v>30</v>
      </c>
      <c r="E132" s="328">
        <v>60</v>
      </c>
      <c r="F132" s="112">
        <f>D132/E132</f>
        <v>0.5</v>
      </c>
      <c r="G132" s="113">
        <f t="shared" si="4"/>
        <v>0.56</v>
      </c>
    </row>
    <row r="133" spans="1:7" ht="12.75">
      <c r="A133" s="125" t="s">
        <v>533</v>
      </c>
      <c r="B133" s="126">
        <v>929</v>
      </c>
      <c r="C133" s="127">
        <v>0.2777777777777778</v>
      </c>
      <c r="F133" s="112">
        <v>1</v>
      </c>
      <c r="G133" s="113">
        <f t="shared" si="4"/>
        <v>0.2777777777777778</v>
      </c>
    </row>
    <row r="134" spans="1:7" ht="12.75">
      <c r="A134" s="125" t="s">
        <v>372</v>
      </c>
      <c r="B134" s="126">
        <v>139</v>
      </c>
      <c r="C134" s="127">
        <v>0.25</v>
      </c>
      <c r="F134" s="112">
        <v>1</v>
      </c>
      <c r="G134" s="113">
        <f aca="true" t="shared" si="5" ref="G134:G144">C134/F134</f>
        <v>0.25</v>
      </c>
    </row>
    <row r="135" spans="1:7" ht="12.75">
      <c r="A135" s="125">
        <v>330</v>
      </c>
      <c r="B135" s="126">
        <v>330</v>
      </c>
      <c r="C135" s="127">
        <v>0.24</v>
      </c>
      <c r="E135" s="328"/>
      <c r="F135" s="112">
        <v>1</v>
      </c>
      <c r="G135" s="113">
        <f t="shared" si="5"/>
        <v>0.24</v>
      </c>
    </row>
    <row r="136" spans="1:7" ht="12.75">
      <c r="A136" s="125" t="s">
        <v>385</v>
      </c>
      <c r="B136" s="126">
        <v>935</v>
      </c>
      <c r="C136" s="127">
        <v>0.23333333333333334</v>
      </c>
      <c r="F136" s="112">
        <v>1</v>
      </c>
      <c r="G136" s="113">
        <f t="shared" si="5"/>
        <v>0.23333333333333334</v>
      </c>
    </row>
    <row r="137" spans="1:7" ht="12.75">
      <c r="A137" s="125" t="s">
        <v>549</v>
      </c>
      <c r="B137" s="126">
        <v>53</v>
      </c>
      <c r="C137" s="127">
        <v>0.21428571428571427</v>
      </c>
      <c r="D137" s="330"/>
      <c r="E137" s="330"/>
      <c r="F137" s="112">
        <v>1</v>
      </c>
      <c r="G137" s="113">
        <f t="shared" si="5"/>
        <v>0.21428571428571427</v>
      </c>
    </row>
    <row r="138" spans="1:7" ht="12.75">
      <c r="A138" s="125" t="s">
        <v>381</v>
      </c>
      <c r="B138" s="126">
        <v>209</v>
      </c>
      <c r="C138" s="127">
        <v>0.2</v>
      </c>
      <c r="F138" s="112">
        <v>1</v>
      </c>
      <c r="G138" s="113">
        <f t="shared" si="5"/>
        <v>0.2</v>
      </c>
    </row>
    <row r="139" spans="1:7" ht="12.75">
      <c r="A139" s="125" t="s">
        <v>547</v>
      </c>
      <c r="B139" s="126">
        <v>99</v>
      </c>
      <c r="C139" s="127">
        <v>0.17006802721088435</v>
      </c>
      <c r="F139" s="112">
        <v>1</v>
      </c>
      <c r="G139" s="113">
        <f t="shared" si="5"/>
        <v>0.17006802721088435</v>
      </c>
    </row>
    <row r="140" spans="1:7" ht="12.75">
      <c r="A140" s="125" t="s">
        <v>522</v>
      </c>
      <c r="B140" s="126">
        <v>43</v>
      </c>
      <c r="C140" s="127">
        <v>0.16964285714285715</v>
      </c>
      <c r="D140" s="330"/>
      <c r="E140" s="330"/>
      <c r="F140" s="112">
        <v>1</v>
      </c>
      <c r="G140" s="113">
        <f t="shared" si="5"/>
        <v>0.16964285714285715</v>
      </c>
    </row>
    <row r="141" spans="1:7" ht="12.75">
      <c r="A141" s="125" t="s">
        <v>377</v>
      </c>
      <c r="B141" s="126">
        <v>51</v>
      </c>
      <c r="C141" s="127">
        <v>0.14</v>
      </c>
      <c r="D141" s="330"/>
      <c r="E141" s="330"/>
      <c r="F141" s="112">
        <v>1</v>
      </c>
      <c r="G141" s="113">
        <f t="shared" si="5"/>
        <v>0.14</v>
      </c>
    </row>
    <row r="142" spans="1:7" ht="12.75">
      <c r="A142" s="125" t="s">
        <v>546</v>
      </c>
      <c r="B142" s="126">
        <v>42</v>
      </c>
      <c r="C142" s="127">
        <v>0.1349206349206349</v>
      </c>
      <c r="D142" s="330"/>
      <c r="E142" s="330"/>
      <c r="F142" s="112">
        <v>1</v>
      </c>
      <c r="G142" s="113">
        <f t="shared" si="5"/>
        <v>0.1349206349206349</v>
      </c>
    </row>
    <row r="143" spans="1:7" ht="12.75">
      <c r="A143" s="125" t="s">
        <v>551</v>
      </c>
      <c r="B143" s="126">
        <v>913</v>
      </c>
      <c r="C143" s="127">
        <v>0.13333333333333333</v>
      </c>
      <c r="F143" s="112">
        <v>1</v>
      </c>
      <c r="G143" s="113">
        <f t="shared" si="5"/>
        <v>0.13333333333333333</v>
      </c>
    </row>
    <row r="144" spans="1:7" ht="12.75">
      <c r="A144" s="125" t="s">
        <v>550</v>
      </c>
      <c r="B144" s="126">
        <v>38</v>
      </c>
      <c r="C144" s="127">
        <v>0.1111111111111111</v>
      </c>
      <c r="D144" s="330"/>
      <c r="E144" s="330"/>
      <c r="F144" s="112">
        <v>1</v>
      </c>
      <c r="G144" s="113">
        <f t="shared" si="5"/>
        <v>0.1111111111111111</v>
      </c>
    </row>
    <row r="145" ht="12.75">
      <c r="A145" s="120" t="s">
        <v>558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2" width="9.140625" style="108" customWidth="1"/>
    <col min="3" max="3" width="17.28125" style="154" bestFit="1" customWidth="1"/>
    <col min="4" max="4" width="20.28125" style="326" bestFit="1" customWidth="1"/>
    <col min="5" max="5" width="21.8515625" style="108" bestFit="1" customWidth="1"/>
    <col min="6" max="6" width="12.140625" style="108" bestFit="1" customWidth="1"/>
    <col min="7" max="7" width="24.57421875" style="155" bestFit="1" customWidth="1"/>
    <col min="8" max="16384" width="9.140625" style="108" customWidth="1"/>
  </cols>
  <sheetData>
    <row r="1" spans="1:8" ht="12.75">
      <c r="A1" s="133" t="s">
        <v>435</v>
      </c>
      <c r="B1" s="133" t="s">
        <v>436</v>
      </c>
      <c r="C1" s="134" t="s">
        <v>748</v>
      </c>
      <c r="D1" s="324" t="s">
        <v>733</v>
      </c>
      <c r="E1" s="88" t="s">
        <v>734</v>
      </c>
      <c r="F1" s="88" t="s">
        <v>402</v>
      </c>
      <c r="G1" s="135" t="s">
        <v>749</v>
      </c>
      <c r="H1" s="120" t="s">
        <v>732</v>
      </c>
    </row>
    <row r="2" spans="1:7" ht="12.75">
      <c r="A2" s="136" t="s">
        <v>460</v>
      </c>
      <c r="B2" s="137">
        <v>7</v>
      </c>
      <c r="C2" s="138">
        <v>0.689010989010989</v>
      </c>
      <c r="D2" s="325">
        <v>10</v>
      </c>
      <c r="E2" s="120">
        <v>30</v>
      </c>
      <c r="F2" s="140">
        <f>D2/E2</f>
        <v>0.3333333333333333</v>
      </c>
      <c r="G2" s="141">
        <f aca="true" t="shared" si="0" ref="G2:G35">C2/F2</f>
        <v>2.0670329670329672</v>
      </c>
    </row>
    <row r="3" spans="1:7" ht="12.75">
      <c r="A3" s="136" t="s">
        <v>440</v>
      </c>
      <c r="B3" s="137">
        <v>36</v>
      </c>
      <c r="C3" s="138">
        <v>0.6354852876592006</v>
      </c>
      <c r="D3" s="325">
        <v>10</v>
      </c>
      <c r="E3" s="120">
        <v>30</v>
      </c>
      <c r="F3" s="140">
        <f>D3/E3</f>
        <v>0.3333333333333333</v>
      </c>
      <c r="G3" s="141">
        <f t="shared" si="0"/>
        <v>1.906455862977602</v>
      </c>
    </row>
    <row r="4" spans="1:7" ht="12.75">
      <c r="A4" s="142" t="s">
        <v>470</v>
      </c>
      <c r="B4" s="143">
        <v>3</v>
      </c>
      <c r="C4" s="144">
        <v>0.9067460317460317</v>
      </c>
      <c r="D4" s="325">
        <v>8</v>
      </c>
      <c r="E4" s="120">
        <v>15</v>
      </c>
      <c r="F4" s="140">
        <f>D4/E4</f>
        <v>0.5333333333333333</v>
      </c>
      <c r="G4" s="141">
        <f t="shared" si="0"/>
        <v>1.7001488095238095</v>
      </c>
    </row>
    <row r="5" spans="1:7" ht="12.75">
      <c r="A5" s="145" t="s">
        <v>456</v>
      </c>
      <c r="B5" s="146">
        <v>18</v>
      </c>
      <c r="C5" s="139">
        <v>0.5850340136054422</v>
      </c>
      <c r="D5" s="325"/>
      <c r="E5" s="147"/>
      <c r="F5" s="148">
        <f>20/20</f>
        <v>1</v>
      </c>
      <c r="G5" s="149">
        <f t="shared" si="0"/>
        <v>0.5850340136054422</v>
      </c>
    </row>
    <row r="6" spans="1:7" ht="12.75">
      <c r="A6" s="145" t="s">
        <v>389</v>
      </c>
      <c r="B6" s="146">
        <v>68</v>
      </c>
      <c r="C6" s="139">
        <v>0.8180952380952381</v>
      </c>
      <c r="D6" s="325">
        <v>30</v>
      </c>
      <c r="E6" s="147">
        <v>60</v>
      </c>
      <c r="F6" s="148">
        <f>D6/E6</f>
        <v>0.5</v>
      </c>
      <c r="G6" s="149">
        <f t="shared" si="0"/>
        <v>1.6361904761904762</v>
      </c>
    </row>
    <row r="7" spans="1:7" ht="12.75">
      <c r="A7" s="145" t="s">
        <v>442</v>
      </c>
      <c r="B7" s="146">
        <v>358</v>
      </c>
      <c r="C7" s="139">
        <v>0.703125</v>
      </c>
      <c r="D7" s="325"/>
      <c r="E7" s="147"/>
      <c r="F7" s="148">
        <v>1</v>
      </c>
      <c r="G7" s="149">
        <f t="shared" si="0"/>
        <v>0.703125</v>
      </c>
    </row>
    <row r="8" spans="1:7" ht="12.75">
      <c r="A8" s="145" t="s">
        <v>481</v>
      </c>
      <c r="B8" s="146">
        <v>13</v>
      </c>
      <c r="C8" s="139">
        <v>0.6904761904761905</v>
      </c>
      <c r="D8" s="325">
        <v>15</v>
      </c>
      <c r="E8" s="147">
        <v>30</v>
      </c>
      <c r="F8" s="148">
        <f>D8/E8</f>
        <v>0.5</v>
      </c>
      <c r="G8" s="149">
        <f t="shared" si="0"/>
        <v>1.380952380952381</v>
      </c>
    </row>
    <row r="9" spans="1:7" ht="12.75">
      <c r="A9" s="145" t="s">
        <v>503</v>
      </c>
      <c r="B9" s="146">
        <v>253</v>
      </c>
      <c r="C9" s="139">
        <v>0.6676587301587301</v>
      </c>
      <c r="D9" s="325">
        <v>30</v>
      </c>
      <c r="E9" s="147">
        <v>15</v>
      </c>
      <c r="F9" s="148">
        <f>D9/E9</f>
        <v>2</v>
      </c>
      <c r="G9" s="149">
        <f t="shared" si="0"/>
        <v>0.33382936507936506</v>
      </c>
    </row>
    <row r="10" spans="1:7" ht="12.75">
      <c r="A10" s="145" t="s">
        <v>437</v>
      </c>
      <c r="B10" s="146">
        <v>41</v>
      </c>
      <c r="C10" s="139">
        <v>0.6663286004056795</v>
      </c>
      <c r="D10" s="325">
        <v>15</v>
      </c>
      <c r="E10" s="147">
        <v>30</v>
      </c>
      <c r="F10" s="148">
        <f>D10/E10</f>
        <v>0.5</v>
      </c>
      <c r="G10" s="149">
        <f t="shared" si="0"/>
        <v>1.332657200811359</v>
      </c>
    </row>
    <row r="11" spans="1:7" ht="12.75">
      <c r="A11" s="145" t="s">
        <v>489</v>
      </c>
      <c r="B11" s="146">
        <v>30</v>
      </c>
      <c r="C11" s="139">
        <v>0.6095238095238096</v>
      </c>
      <c r="D11" s="325">
        <v>30</v>
      </c>
      <c r="E11" s="147">
        <v>60</v>
      </c>
      <c r="F11" s="148">
        <f>D11/E11</f>
        <v>0.5</v>
      </c>
      <c r="G11" s="149">
        <f t="shared" si="0"/>
        <v>1.2190476190476192</v>
      </c>
    </row>
    <row r="12" spans="1:7" ht="12.75">
      <c r="A12" s="145" t="s">
        <v>452</v>
      </c>
      <c r="B12" s="146">
        <v>44</v>
      </c>
      <c r="C12" s="139">
        <v>0.5735714285714286</v>
      </c>
      <c r="D12" s="325"/>
      <c r="E12" s="147"/>
      <c r="F12" s="148">
        <v>1</v>
      </c>
      <c r="G12" s="149">
        <f t="shared" si="0"/>
        <v>0.5735714285714286</v>
      </c>
    </row>
    <row r="13" spans="1:7" ht="12.75">
      <c r="A13" s="145" t="s">
        <v>439</v>
      </c>
      <c r="B13" s="146">
        <v>120</v>
      </c>
      <c r="C13" s="139">
        <v>0.5653183023872679</v>
      </c>
      <c r="D13" s="325">
        <v>15</v>
      </c>
      <c r="E13" s="147">
        <v>30</v>
      </c>
      <c r="F13" s="148">
        <f aca="true" t="shared" si="1" ref="F13:F22">D13/E13</f>
        <v>0.5</v>
      </c>
      <c r="G13" s="149">
        <f t="shared" si="0"/>
        <v>1.1306366047745358</v>
      </c>
    </row>
    <row r="14" spans="1:7" ht="12.75">
      <c r="A14" s="145" t="s">
        <v>559</v>
      </c>
      <c r="B14" s="146">
        <v>73</v>
      </c>
      <c r="C14" s="139">
        <v>0.5517241379310345</v>
      </c>
      <c r="D14" s="325">
        <v>8</v>
      </c>
      <c r="E14" s="147">
        <v>15</v>
      </c>
      <c r="F14" s="148">
        <f t="shared" si="1"/>
        <v>0.5333333333333333</v>
      </c>
      <c r="G14" s="149">
        <f t="shared" si="0"/>
        <v>1.0344827586206897</v>
      </c>
    </row>
    <row r="15" spans="1:7" ht="12.75">
      <c r="A15" s="145" t="s">
        <v>457</v>
      </c>
      <c r="B15" s="146">
        <v>48</v>
      </c>
      <c r="C15" s="139">
        <v>0.5451967387451259</v>
      </c>
      <c r="D15" s="325">
        <v>15</v>
      </c>
      <c r="E15" s="147">
        <v>30</v>
      </c>
      <c r="F15" s="148">
        <f t="shared" si="1"/>
        <v>0.5</v>
      </c>
      <c r="G15" s="149">
        <f t="shared" si="0"/>
        <v>1.0903934774902517</v>
      </c>
    </row>
    <row r="16" spans="1:7" ht="12.75">
      <c r="A16" s="145" t="s">
        <v>512</v>
      </c>
      <c r="B16" s="146">
        <v>150</v>
      </c>
      <c r="C16" s="139">
        <v>0.5411051212938005</v>
      </c>
      <c r="D16" s="325">
        <v>15</v>
      </c>
      <c r="E16" s="147">
        <v>30</v>
      </c>
      <c r="F16" s="148">
        <f t="shared" si="1"/>
        <v>0.5</v>
      </c>
      <c r="G16" s="149">
        <f t="shared" si="0"/>
        <v>1.082210242587601</v>
      </c>
    </row>
    <row r="17" spans="1:8" ht="12.75">
      <c r="A17" s="145" t="s">
        <v>609</v>
      </c>
      <c r="B17" s="146">
        <v>5</v>
      </c>
      <c r="C17" s="139">
        <v>0.5166073546856464</v>
      </c>
      <c r="D17" s="325">
        <v>30</v>
      </c>
      <c r="E17" s="147">
        <v>60</v>
      </c>
      <c r="F17" s="148">
        <f t="shared" si="1"/>
        <v>0.5</v>
      </c>
      <c r="G17" s="149">
        <f>C17*0.5/(D17/E17)</f>
        <v>0.5166073546856464</v>
      </c>
      <c r="H17" s="120" t="s">
        <v>608</v>
      </c>
    </row>
    <row r="18" spans="1:7" ht="12.75">
      <c r="A18" s="145" t="s">
        <v>391</v>
      </c>
      <c r="B18" s="146">
        <v>5</v>
      </c>
      <c r="C18" s="139">
        <v>0.5166073546856464</v>
      </c>
      <c r="D18" s="325">
        <v>30</v>
      </c>
      <c r="E18" s="147">
        <v>60</v>
      </c>
      <c r="F18" s="148">
        <f t="shared" si="1"/>
        <v>0.5</v>
      </c>
      <c r="G18" s="149">
        <f t="shared" si="0"/>
        <v>1.033214709371293</v>
      </c>
    </row>
    <row r="19" spans="1:7" ht="12.75">
      <c r="A19" s="145" t="s">
        <v>484</v>
      </c>
      <c r="B19" s="146">
        <v>43</v>
      </c>
      <c r="C19" s="139">
        <v>0.5044642857142857</v>
      </c>
      <c r="D19" s="325">
        <v>15</v>
      </c>
      <c r="E19" s="147">
        <v>30</v>
      </c>
      <c r="F19" s="148">
        <f t="shared" si="1"/>
        <v>0.5</v>
      </c>
      <c r="G19" s="149">
        <f t="shared" si="0"/>
        <v>1.0089285714285714</v>
      </c>
    </row>
    <row r="20" spans="1:7" ht="12.75">
      <c r="A20" s="145" t="s">
        <v>448</v>
      </c>
      <c r="B20" s="146">
        <v>16</v>
      </c>
      <c r="C20" s="139">
        <v>0.6594911937377691</v>
      </c>
      <c r="D20" s="325">
        <v>20</v>
      </c>
      <c r="E20" s="147">
        <v>30</v>
      </c>
      <c r="F20" s="148">
        <f t="shared" si="1"/>
        <v>0.6666666666666666</v>
      </c>
      <c r="G20" s="149">
        <f t="shared" si="0"/>
        <v>0.9892367906066537</v>
      </c>
    </row>
    <row r="21" spans="1:7" ht="12.75">
      <c r="A21" s="145" t="s">
        <v>453</v>
      </c>
      <c r="B21" s="146">
        <v>48</v>
      </c>
      <c r="C21" s="139">
        <v>0.4898971995746189</v>
      </c>
      <c r="D21" s="325">
        <v>15</v>
      </c>
      <c r="E21" s="147">
        <v>30</v>
      </c>
      <c r="F21" s="148">
        <f t="shared" si="1"/>
        <v>0.5</v>
      </c>
      <c r="G21" s="149">
        <f t="shared" si="0"/>
        <v>0.9797943991492378</v>
      </c>
    </row>
    <row r="22" spans="1:7" ht="12.75">
      <c r="A22" s="145" t="s">
        <v>472</v>
      </c>
      <c r="B22" s="146">
        <v>1</v>
      </c>
      <c r="C22" s="139">
        <v>0.65</v>
      </c>
      <c r="D22" s="325">
        <v>20</v>
      </c>
      <c r="E22" s="147">
        <v>30</v>
      </c>
      <c r="F22" s="148">
        <f t="shared" si="1"/>
        <v>0.6666666666666666</v>
      </c>
      <c r="G22" s="149">
        <f t="shared" si="0"/>
        <v>0.9750000000000001</v>
      </c>
    </row>
    <row r="23" spans="1:7" ht="12.75">
      <c r="A23" s="145" t="s">
        <v>441</v>
      </c>
      <c r="B23" s="146">
        <v>4</v>
      </c>
      <c r="C23" s="139">
        <v>0.9404761904761905</v>
      </c>
      <c r="D23" s="325"/>
      <c r="E23" s="153"/>
      <c r="F23" s="148">
        <v>1</v>
      </c>
      <c r="G23" s="149">
        <f t="shared" si="0"/>
        <v>0.9404761904761905</v>
      </c>
    </row>
    <row r="24" spans="1:7" ht="12.75">
      <c r="A24" s="145" t="s">
        <v>461</v>
      </c>
      <c r="B24" s="146">
        <v>15</v>
      </c>
      <c r="C24" s="139">
        <v>0.5961538461538461</v>
      </c>
      <c r="D24" s="325">
        <v>20</v>
      </c>
      <c r="E24" s="147">
        <v>30</v>
      </c>
      <c r="F24" s="148">
        <f>D24/E24</f>
        <v>0.6666666666666666</v>
      </c>
      <c r="G24" s="149">
        <f>C24/F24</f>
        <v>0.8942307692307693</v>
      </c>
    </row>
    <row r="25" spans="1:7" ht="12.75">
      <c r="A25" s="145" t="s">
        <v>560</v>
      </c>
      <c r="B25" s="146">
        <v>60</v>
      </c>
      <c r="C25" s="139">
        <v>0.8571428571428571</v>
      </c>
      <c r="D25" s="325"/>
      <c r="E25" s="153"/>
      <c r="F25" s="148">
        <v>1</v>
      </c>
      <c r="G25" s="149">
        <f t="shared" si="0"/>
        <v>0.8571428571428571</v>
      </c>
    </row>
    <row r="26" spans="1:7" ht="12.75">
      <c r="A26" s="145" t="s">
        <v>500</v>
      </c>
      <c r="B26" s="146">
        <v>14</v>
      </c>
      <c r="C26" s="139">
        <v>0.8518518518518519</v>
      </c>
      <c r="D26" s="325"/>
      <c r="E26" s="153"/>
      <c r="F26" s="148">
        <v>1</v>
      </c>
      <c r="G26" s="149">
        <f t="shared" si="0"/>
        <v>0.8518518518518519</v>
      </c>
    </row>
    <row r="27" spans="1:7" ht="12.75">
      <c r="A27" s="145" t="s">
        <v>476</v>
      </c>
      <c r="B27" s="146">
        <v>60</v>
      </c>
      <c r="C27" s="139">
        <v>0.8372093023255814</v>
      </c>
      <c r="D27" s="325">
        <v>20</v>
      </c>
      <c r="E27" s="153">
        <v>15</v>
      </c>
      <c r="F27" s="148">
        <f>D27/E27</f>
        <v>1.3333333333333333</v>
      </c>
      <c r="G27" s="149">
        <f t="shared" si="0"/>
        <v>0.6279069767441862</v>
      </c>
    </row>
    <row r="28" spans="1:7" ht="12.75">
      <c r="A28" s="145" t="s">
        <v>561</v>
      </c>
      <c r="B28" s="146">
        <v>14</v>
      </c>
      <c r="C28" s="139">
        <v>0.8333333333333334</v>
      </c>
      <c r="D28" s="325"/>
      <c r="E28" s="153"/>
      <c r="F28" s="148">
        <v>1</v>
      </c>
      <c r="G28" s="149">
        <f t="shared" si="0"/>
        <v>0.8333333333333334</v>
      </c>
    </row>
    <row r="29" spans="1:7" ht="12.75">
      <c r="A29" s="145" t="s">
        <v>496</v>
      </c>
      <c r="B29" s="146">
        <v>67</v>
      </c>
      <c r="C29" s="139">
        <v>0.40389784946236557</v>
      </c>
      <c r="D29" s="325">
        <v>15</v>
      </c>
      <c r="E29" s="147">
        <v>30</v>
      </c>
      <c r="F29" s="148">
        <f>D29/E29</f>
        <v>0.5</v>
      </c>
      <c r="G29" s="149">
        <f t="shared" si="0"/>
        <v>0.8077956989247311</v>
      </c>
    </row>
    <row r="30" spans="1:7" ht="12.75">
      <c r="A30" s="150" t="s">
        <v>451</v>
      </c>
      <c r="B30" s="151">
        <v>3</v>
      </c>
      <c r="C30" s="152">
        <v>0.7901234567901234</v>
      </c>
      <c r="D30" s="325"/>
      <c r="F30" s="140">
        <v>1</v>
      </c>
      <c r="G30" s="141">
        <f t="shared" si="0"/>
        <v>0.7901234567901234</v>
      </c>
    </row>
    <row r="31" spans="1:7" ht="12.75">
      <c r="A31" s="136" t="s">
        <v>480</v>
      </c>
      <c r="B31" s="137">
        <v>11</v>
      </c>
      <c r="C31" s="138">
        <v>0.7805970149253731</v>
      </c>
      <c r="D31" s="325"/>
      <c r="F31" s="140">
        <v>1</v>
      </c>
      <c r="G31" s="141">
        <f t="shared" si="0"/>
        <v>0.7805970149253731</v>
      </c>
    </row>
    <row r="32" spans="1:7" ht="12.75">
      <c r="A32" s="136" t="s">
        <v>444</v>
      </c>
      <c r="B32" s="137">
        <v>4</v>
      </c>
      <c r="C32" s="138">
        <v>0.7710622710622711</v>
      </c>
      <c r="D32" s="325"/>
      <c r="F32" s="140">
        <v>1</v>
      </c>
      <c r="G32" s="141">
        <f t="shared" si="0"/>
        <v>0.7710622710622711</v>
      </c>
    </row>
    <row r="33" spans="1:7" ht="12.75">
      <c r="A33" s="136" t="s">
        <v>388</v>
      </c>
      <c r="B33" s="137">
        <v>71</v>
      </c>
      <c r="C33" s="138">
        <v>0.763448275862069</v>
      </c>
      <c r="D33" s="325"/>
      <c r="F33" s="140">
        <v>1</v>
      </c>
      <c r="G33" s="141">
        <f t="shared" si="0"/>
        <v>0.763448275862069</v>
      </c>
    </row>
    <row r="34" spans="1:8" ht="12.75">
      <c r="A34" s="212" t="s">
        <v>603</v>
      </c>
      <c r="B34" s="137">
        <v>71</v>
      </c>
      <c r="C34" s="138">
        <f>C33</f>
        <v>0.763448275862069</v>
      </c>
      <c r="D34" s="326">
        <v>20</v>
      </c>
      <c r="E34" s="108">
        <v>30</v>
      </c>
      <c r="F34" s="140">
        <f>D34/E34</f>
        <v>0.6666666666666666</v>
      </c>
      <c r="G34" s="141">
        <f>C34*F34</f>
        <v>0.5089655172413793</v>
      </c>
      <c r="H34" s="323" t="s">
        <v>604</v>
      </c>
    </row>
    <row r="35" spans="1:7" ht="12.75">
      <c r="A35" s="136" t="s">
        <v>518</v>
      </c>
      <c r="B35" s="137">
        <v>164</v>
      </c>
      <c r="C35" s="138">
        <v>0.7579365079365079</v>
      </c>
      <c r="D35" s="325"/>
      <c r="F35" s="140">
        <v>1</v>
      </c>
      <c r="G35" s="141">
        <f t="shared" si="0"/>
        <v>0.7579365079365079</v>
      </c>
    </row>
    <row r="36" spans="1:7" ht="12.75">
      <c r="A36" s="142" t="s">
        <v>491</v>
      </c>
      <c r="B36" s="143">
        <v>194</v>
      </c>
      <c r="C36" s="144">
        <v>0.7466487935656837</v>
      </c>
      <c r="D36" s="325"/>
      <c r="F36" s="140">
        <v>1</v>
      </c>
      <c r="G36" s="141">
        <f aca="true" t="shared" si="2" ref="G36:G68">C36/F36</f>
        <v>0.7466487935656837</v>
      </c>
    </row>
    <row r="37" spans="1:7" ht="12.75">
      <c r="A37" s="145" t="s">
        <v>555</v>
      </c>
      <c r="B37" s="146">
        <v>914</v>
      </c>
      <c r="C37" s="139">
        <v>0.7444444444444445</v>
      </c>
      <c r="D37" s="325"/>
      <c r="E37" s="153"/>
      <c r="F37" s="148">
        <v>1</v>
      </c>
      <c r="G37" s="149">
        <f t="shared" si="2"/>
        <v>0.7444444444444445</v>
      </c>
    </row>
    <row r="38" spans="1:7" ht="12.75">
      <c r="A38" s="150" t="s">
        <v>520</v>
      </c>
      <c r="B38" s="151">
        <v>345</v>
      </c>
      <c r="C38" s="152">
        <v>0.7402777777777778</v>
      </c>
      <c r="D38" s="325"/>
      <c r="F38" s="140">
        <v>1</v>
      </c>
      <c r="G38" s="141">
        <f t="shared" si="2"/>
        <v>0.7402777777777778</v>
      </c>
    </row>
    <row r="39" spans="1:7" ht="12.75">
      <c r="A39" s="136" t="s">
        <v>465</v>
      </c>
      <c r="B39" s="137">
        <v>72</v>
      </c>
      <c r="C39" s="138">
        <v>0.730106100795756</v>
      </c>
      <c r="D39" s="325"/>
      <c r="F39" s="140">
        <v>1</v>
      </c>
      <c r="G39" s="141">
        <f t="shared" si="2"/>
        <v>0.730106100795756</v>
      </c>
    </row>
    <row r="40" spans="1:7" ht="12.75">
      <c r="A40" s="136" t="s">
        <v>486</v>
      </c>
      <c r="B40" s="137">
        <v>180</v>
      </c>
      <c r="C40" s="138">
        <v>0.7281746031746031</v>
      </c>
      <c r="D40" s="325"/>
      <c r="F40" s="140">
        <v>1</v>
      </c>
      <c r="G40" s="141">
        <f t="shared" si="2"/>
        <v>0.7281746031746031</v>
      </c>
    </row>
    <row r="41" spans="1:7" ht="12.75">
      <c r="A41" s="136" t="s">
        <v>387</v>
      </c>
      <c r="B41" s="137">
        <v>73</v>
      </c>
      <c r="C41" s="138">
        <v>0.7255172413793104</v>
      </c>
      <c r="D41" s="325"/>
      <c r="F41" s="140">
        <v>1</v>
      </c>
      <c r="G41" s="141">
        <f t="shared" si="2"/>
        <v>0.7255172413793104</v>
      </c>
    </row>
    <row r="42" spans="1:7" ht="12.75">
      <c r="A42" s="136" t="s">
        <v>511</v>
      </c>
      <c r="B42" s="137">
        <v>8</v>
      </c>
      <c r="C42" s="138">
        <v>0.719585849870578</v>
      </c>
      <c r="D42" s="325"/>
      <c r="E42" s="120"/>
      <c r="F42" s="140">
        <v>1</v>
      </c>
      <c r="G42" s="141">
        <f t="shared" si="2"/>
        <v>0.719585849870578</v>
      </c>
    </row>
    <row r="43" spans="1:7" ht="12.75">
      <c r="A43" s="136" t="s">
        <v>446</v>
      </c>
      <c r="B43" s="137">
        <v>101</v>
      </c>
      <c r="C43" s="138">
        <v>0.71875</v>
      </c>
      <c r="D43" s="325"/>
      <c r="F43" s="140">
        <v>1</v>
      </c>
      <c r="G43" s="141">
        <f t="shared" si="2"/>
        <v>0.71875</v>
      </c>
    </row>
    <row r="44" spans="1:7" ht="12.75">
      <c r="A44" s="136" t="s">
        <v>554</v>
      </c>
      <c r="B44" s="137">
        <v>7</v>
      </c>
      <c r="C44" s="138">
        <v>0.7142857142857143</v>
      </c>
      <c r="D44" s="325"/>
      <c r="F44" s="140">
        <v>1</v>
      </c>
      <c r="G44" s="141">
        <f t="shared" si="2"/>
        <v>0.7142857142857143</v>
      </c>
    </row>
    <row r="45" spans="1:7" ht="12.75">
      <c r="A45" s="136" t="s">
        <v>542</v>
      </c>
      <c r="B45" s="137">
        <v>140</v>
      </c>
      <c r="C45" s="138">
        <v>0.35119047619047616</v>
      </c>
      <c r="D45" s="325">
        <v>15</v>
      </c>
      <c r="E45" s="120">
        <v>30</v>
      </c>
      <c r="F45" s="140">
        <f>D45/E45</f>
        <v>0.5</v>
      </c>
      <c r="G45" s="141">
        <f t="shared" si="2"/>
        <v>0.7023809523809523</v>
      </c>
    </row>
    <row r="46" spans="1:7" ht="12.75">
      <c r="A46" s="136" t="s">
        <v>459</v>
      </c>
      <c r="B46" s="137">
        <v>10</v>
      </c>
      <c r="C46" s="138">
        <v>0.6930272108843537</v>
      </c>
      <c r="D46" s="325"/>
      <c r="E46" s="120"/>
      <c r="F46" s="140">
        <v>1</v>
      </c>
      <c r="G46" s="141">
        <f t="shared" si="2"/>
        <v>0.6930272108843537</v>
      </c>
    </row>
    <row r="47" spans="1:8" ht="12.75">
      <c r="A47" s="136" t="s">
        <v>612</v>
      </c>
      <c r="B47" s="137">
        <v>271</v>
      </c>
      <c r="C47" s="138">
        <v>0.6875</v>
      </c>
      <c r="D47" s="325"/>
      <c r="F47" s="140">
        <v>1</v>
      </c>
      <c r="G47" s="141">
        <f>C47/F47</f>
        <v>0.6875</v>
      </c>
      <c r="H47" s="213" t="s">
        <v>614</v>
      </c>
    </row>
    <row r="48" spans="1:7" ht="12.75">
      <c r="A48" s="136" t="s">
        <v>447</v>
      </c>
      <c r="B48" s="137">
        <v>271</v>
      </c>
      <c r="C48" s="138">
        <v>0.6875</v>
      </c>
      <c r="D48" s="325"/>
      <c r="F48" s="140">
        <v>1</v>
      </c>
      <c r="G48" s="141">
        <f t="shared" si="2"/>
        <v>0.6875</v>
      </c>
    </row>
    <row r="49" spans="1:7" ht="12.75">
      <c r="A49" s="136" t="s">
        <v>471</v>
      </c>
      <c r="B49" s="137">
        <v>75</v>
      </c>
      <c r="C49" s="138">
        <v>0.6700787401574804</v>
      </c>
      <c r="D49" s="325"/>
      <c r="F49" s="140">
        <v>1</v>
      </c>
      <c r="G49" s="141">
        <f t="shared" si="2"/>
        <v>0.6700787401574804</v>
      </c>
    </row>
    <row r="50" spans="1:7" ht="12.75">
      <c r="A50" s="136" t="s">
        <v>487</v>
      </c>
      <c r="B50" s="137">
        <v>169</v>
      </c>
      <c r="C50" s="138">
        <v>0.6696428571428571</v>
      </c>
      <c r="D50" s="325"/>
      <c r="F50" s="140">
        <v>1</v>
      </c>
      <c r="G50" s="141">
        <f t="shared" si="2"/>
        <v>0.6696428571428571</v>
      </c>
    </row>
    <row r="51" spans="1:7" ht="12.75">
      <c r="A51" s="136" t="s">
        <v>495</v>
      </c>
      <c r="B51" s="137">
        <v>348</v>
      </c>
      <c r="C51" s="138">
        <v>0.6652777777777777</v>
      </c>
      <c r="D51" s="325"/>
      <c r="F51" s="140">
        <v>1</v>
      </c>
      <c r="G51" s="141">
        <f t="shared" si="2"/>
        <v>0.6652777777777777</v>
      </c>
    </row>
    <row r="52" spans="1:7" ht="12.75">
      <c r="A52" s="136" t="s">
        <v>379</v>
      </c>
      <c r="B52" s="137">
        <v>9</v>
      </c>
      <c r="C52" s="138">
        <v>0.6622998544395924</v>
      </c>
      <c r="D52" s="325"/>
      <c r="F52" s="140">
        <v>1</v>
      </c>
      <c r="G52" s="141">
        <f t="shared" si="2"/>
        <v>0.6622998544395924</v>
      </c>
    </row>
    <row r="53" spans="1:7" ht="12.75">
      <c r="A53" s="136" t="s">
        <v>462</v>
      </c>
      <c r="B53" s="137">
        <v>12</v>
      </c>
      <c r="C53" s="138">
        <v>0.6617405582922824</v>
      </c>
      <c r="D53" s="325"/>
      <c r="F53" s="140">
        <v>1</v>
      </c>
      <c r="G53" s="141">
        <f t="shared" si="2"/>
        <v>0.6617405582922824</v>
      </c>
    </row>
    <row r="54" spans="1:7" ht="12.75">
      <c r="A54" s="136" t="s">
        <v>458</v>
      </c>
      <c r="B54" s="137">
        <v>2</v>
      </c>
      <c r="C54" s="138">
        <v>0.6565934065934066</v>
      </c>
      <c r="D54" s="325"/>
      <c r="E54" s="120"/>
      <c r="F54" s="140">
        <v>1</v>
      </c>
      <c r="G54" s="141">
        <f t="shared" si="2"/>
        <v>0.6565934065934066</v>
      </c>
    </row>
    <row r="55" spans="1:7" ht="12.75">
      <c r="A55" s="136" t="s">
        <v>483</v>
      </c>
      <c r="B55" s="137">
        <v>2</v>
      </c>
      <c r="C55" s="138">
        <v>0.6539115646258503</v>
      </c>
      <c r="D55" s="325"/>
      <c r="F55" s="140">
        <v>1</v>
      </c>
      <c r="G55" s="141">
        <f t="shared" si="2"/>
        <v>0.6539115646258503</v>
      </c>
    </row>
    <row r="56" spans="1:7" ht="12.75">
      <c r="A56" s="136" t="s">
        <v>478</v>
      </c>
      <c r="B56" s="137">
        <v>168</v>
      </c>
      <c r="C56" s="138">
        <v>0.6369047619047619</v>
      </c>
      <c r="D56" s="325"/>
      <c r="F56" s="140">
        <v>1</v>
      </c>
      <c r="G56" s="141">
        <f t="shared" si="2"/>
        <v>0.6369047619047619</v>
      </c>
    </row>
    <row r="57" spans="1:7" ht="12.75">
      <c r="A57" s="136" t="s">
        <v>562</v>
      </c>
      <c r="B57" s="137">
        <v>15</v>
      </c>
      <c r="C57" s="138">
        <v>0.625</v>
      </c>
      <c r="D57" s="325"/>
      <c r="F57" s="140">
        <v>1</v>
      </c>
      <c r="G57" s="141">
        <f t="shared" si="2"/>
        <v>0.625</v>
      </c>
    </row>
    <row r="58" spans="1:7" ht="12.75">
      <c r="A58" s="136" t="s">
        <v>506</v>
      </c>
      <c r="B58" s="137">
        <v>174</v>
      </c>
      <c r="C58" s="138">
        <v>0.6235632183908046</v>
      </c>
      <c r="D58" s="325"/>
      <c r="F58" s="140">
        <v>1</v>
      </c>
      <c r="G58" s="141">
        <f t="shared" si="2"/>
        <v>0.6235632183908046</v>
      </c>
    </row>
    <row r="59" spans="1:7" ht="12.75">
      <c r="A59" s="136" t="s">
        <v>513</v>
      </c>
      <c r="B59" s="137">
        <v>12</v>
      </c>
      <c r="C59" s="138">
        <v>0.6216931216931217</v>
      </c>
      <c r="D59" s="325"/>
      <c r="E59" s="120"/>
      <c r="F59" s="140">
        <v>1</v>
      </c>
      <c r="G59" s="141">
        <f t="shared" si="2"/>
        <v>0.6216931216931217</v>
      </c>
    </row>
    <row r="60" spans="1:7" ht="12.75">
      <c r="A60" s="136" t="s">
        <v>498</v>
      </c>
      <c r="B60" s="137">
        <v>128</v>
      </c>
      <c r="C60" s="138">
        <v>0.621031746031746</v>
      </c>
      <c r="D60" s="325"/>
      <c r="F60" s="140">
        <v>1</v>
      </c>
      <c r="G60" s="141">
        <f t="shared" si="2"/>
        <v>0.621031746031746</v>
      </c>
    </row>
    <row r="61" spans="1:7" ht="12.75">
      <c r="A61" s="136" t="s">
        <v>553</v>
      </c>
      <c r="B61" s="137">
        <v>916</v>
      </c>
      <c r="C61" s="138">
        <v>0.6181818181818182</v>
      </c>
      <c r="D61" s="325"/>
      <c r="F61" s="140">
        <v>1</v>
      </c>
      <c r="G61" s="141">
        <f t="shared" si="2"/>
        <v>0.6181818181818182</v>
      </c>
    </row>
    <row r="62" spans="1:7" ht="12.75">
      <c r="A62" s="136" t="s">
        <v>524</v>
      </c>
      <c r="B62" s="137">
        <v>125</v>
      </c>
      <c r="C62" s="138">
        <v>0.6089743589743589</v>
      </c>
      <c r="D62" s="325"/>
      <c r="F62" s="140">
        <v>1</v>
      </c>
      <c r="G62" s="141">
        <f t="shared" si="2"/>
        <v>0.6089743589743589</v>
      </c>
    </row>
    <row r="63" spans="1:7" ht="12.75">
      <c r="A63" s="136" t="s">
        <v>497</v>
      </c>
      <c r="B63" s="137">
        <v>49</v>
      </c>
      <c r="C63" s="138">
        <v>0.6071428571428571</v>
      </c>
      <c r="D63" s="325"/>
      <c r="E63" s="120"/>
      <c r="F63" s="140">
        <v>1</v>
      </c>
      <c r="G63" s="141">
        <f t="shared" si="2"/>
        <v>0.6071428571428571</v>
      </c>
    </row>
    <row r="64" spans="1:7" ht="12.75">
      <c r="A64" s="136" t="s">
        <v>563</v>
      </c>
      <c r="B64" s="137">
        <v>925</v>
      </c>
      <c r="C64" s="138">
        <v>0.6</v>
      </c>
      <c r="D64" s="325"/>
      <c r="F64" s="140">
        <v>1</v>
      </c>
      <c r="G64" s="141">
        <f t="shared" si="2"/>
        <v>0.6</v>
      </c>
    </row>
    <row r="65" spans="1:7" ht="12.75">
      <c r="A65" s="136" t="s">
        <v>445</v>
      </c>
      <c r="B65" s="137">
        <v>3</v>
      </c>
      <c r="C65" s="138">
        <v>0.5943223443223443</v>
      </c>
      <c r="D65" s="325"/>
      <c r="F65" s="140">
        <v>1</v>
      </c>
      <c r="G65" s="141">
        <f t="shared" si="2"/>
        <v>0.5943223443223443</v>
      </c>
    </row>
    <row r="66" spans="1:7" ht="12.75">
      <c r="A66" s="136" t="s">
        <v>504</v>
      </c>
      <c r="B66" s="137">
        <v>65</v>
      </c>
      <c r="C66" s="138">
        <v>0.592156862745098</v>
      </c>
      <c r="D66" s="325"/>
      <c r="F66" s="140">
        <v>1</v>
      </c>
      <c r="G66" s="141">
        <f t="shared" si="2"/>
        <v>0.592156862745098</v>
      </c>
    </row>
    <row r="67" spans="1:7" ht="12.75">
      <c r="A67" s="136" t="s">
        <v>479</v>
      </c>
      <c r="B67" s="137">
        <v>331</v>
      </c>
      <c r="C67" s="138">
        <v>0.5875</v>
      </c>
      <c r="D67" s="325">
        <v>30</v>
      </c>
      <c r="E67" s="108">
        <v>60</v>
      </c>
      <c r="F67" s="140">
        <f>D67/E67</f>
        <v>0.5</v>
      </c>
      <c r="G67" s="141">
        <f t="shared" si="2"/>
        <v>1.175</v>
      </c>
    </row>
    <row r="68" spans="1:7" ht="12.75">
      <c r="A68" s="136" t="s">
        <v>519</v>
      </c>
      <c r="B68" s="137">
        <v>166</v>
      </c>
      <c r="C68" s="138">
        <v>0.5853174603174603</v>
      </c>
      <c r="D68" s="325"/>
      <c r="F68" s="140">
        <v>1</v>
      </c>
      <c r="G68" s="141">
        <f t="shared" si="2"/>
        <v>0.5853174603174603</v>
      </c>
    </row>
    <row r="69" spans="1:7" ht="12.75">
      <c r="A69" s="136" t="s">
        <v>501</v>
      </c>
      <c r="B69" s="137">
        <v>132</v>
      </c>
      <c r="C69" s="138">
        <v>0.5831325301204819</v>
      </c>
      <c r="D69" s="325"/>
      <c r="F69" s="140">
        <v>1</v>
      </c>
      <c r="G69" s="141">
        <f aca="true" t="shared" si="3" ref="G69:G101">C69/F69</f>
        <v>0.5831325301204819</v>
      </c>
    </row>
    <row r="70" spans="1:7" ht="12.75">
      <c r="A70" s="136" t="s">
        <v>482</v>
      </c>
      <c r="B70" s="137">
        <v>131</v>
      </c>
      <c r="C70" s="138">
        <v>0.5714285714285714</v>
      </c>
      <c r="D70" s="325"/>
      <c r="F70" s="140">
        <v>1</v>
      </c>
      <c r="G70" s="141">
        <f t="shared" si="3"/>
        <v>0.5714285714285714</v>
      </c>
    </row>
    <row r="71" spans="1:7" ht="12.75">
      <c r="A71" s="136" t="s">
        <v>449</v>
      </c>
      <c r="B71" s="137">
        <v>372</v>
      </c>
      <c r="C71" s="138">
        <v>0.5584239130434783</v>
      </c>
      <c r="D71" s="325"/>
      <c r="F71" s="140">
        <v>1</v>
      </c>
      <c r="G71" s="141">
        <f t="shared" si="3"/>
        <v>0.5584239130434783</v>
      </c>
    </row>
    <row r="72" spans="1:7" ht="12.75">
      <c r="A72" s="136" t="s">
        <v>464</v>
      </c>
      <c r="B72" s="137">
        <v>66</v>
      </c>
      <c r="C72" s="138">
        <v>0.5533333333333333</v>
      </c>
      <c r="D72" s="325"/>
      <c r="F72" s="140">
        <v>1</v>
      </c>
      <c r="G72" s="141">
        <f t="shared" si="3"/>
        <v>0.5533333333333333</v>
      </c>
    </row>
    <row r="73" spans="1:7" ht="12.75">
      <c r="A73" s="136" t="s">
        <v>438</v>
      </c>
      <c r="B73" s="137">
        <v>255</v>
      </c>
      <c r="C73" s="138">
        <v>0.5497347480106101</v>
      </c>
      <c r="D73" s="325"/>
      <c r="F73" s="140">
        <v>1</v>
      </c>
      <c r="G73" s="141">
        <f t="shared" si="3"/>
        <v>0.5497347480106101</v>
      </c>
    </row>
    <row r="74" spans="1:7" ht="12.75">
      <c r="A74" s="136" t="s">
        <v>564</v>
      </c>
      <c r="B74" s="137">
        <v>131</v>
      </c>
      <c r="C74" s="138">
        <v>0.5493975903614458</v>
      </c>
      <c r="D74" s="325"/>
      <c r="F74" s="140">
        <v>1</v>
      </c>
      <c r="G74" s="141">
        <f t="shared" si="3"/>
        <v>0.5493975903614458</v>
      </c>
    </row>
    <row r="75" spans="1:7" ht="12.75">
      <c r="A75" s="136" t="s">
        <v>492</v>
      </c>
      <c r="B75" s="137">
        <v>132</v>
      </c>
      <c r="C75" s="138">
        <v>0.5219512195121951</v>
      </c>
      <c r="D75" s="325"/>
      <c r="F75" s="140">
        <v>1</v>
      </c>
      <c r="G75" s="141">
        <f t="shared" si="3"/>
        <v>0.5219512195121951</v>
      </c>
    </row>
    <row r="76" spans="1:7" ht="12.75">
      <c r="A76" s="136" t="s">
        <v>507</v>
      </c>
      <c r="B76" s="137">
        <v>903</v>
      </c>
      <c r="C76" s="138">
        <v>0.518840579710145</v>
      </c>
      <c r="D76" s="325"/>
      <c r="F76" s="140">
        <v>1</v>
      </c>
      <c r="G76" s="141">
        <f t="shared" si="3"/>
        <v>0.518840579710145</v>
      </c>
    </row>
    <row r="77" spans="1:7" ht="12.75">
      <c r="A77" s="136" t="s">
        <v>535</v>
      </c>
      <c r="B77" s="137">
        <v>181</v>
      </c>
      <c r="C77" s="138">
        <v>0.5158730158730159</v>
      </c>
      <c r="D77" s="325"/>
      <c r="F77" s="140">
        <v>1</v>
      </c>
      <c r="G77" s="141">
        <f t="shared" si="3"/>
        <v>0.5158730158730159</v>
      </c>
    </row>
    <row r="78" spans="1:7" ht="12.75">
      <c r="A78" s="136" t="s">
        <v>454</v>
      </c>
      <c r="B78" s="137">
        <v>54</v>
      </c>
      <c r="C78" s="138">
        <v>0.5086633663366337</v>
      </c>
      <c r="D78" s="325"/>
      <c r="F78" s="140">
        <v>1</v>
      </c>
      <c r="G78" s="141">
        <f t="shared" si="3"/>
        <v>0.5086633663366337</v>
      </c>
    </row>
    <row r="79" spans="1:7" ht="12.75">
      <c r="A79" s="136" t="s">
        <v>499</v>
      </c>
      <c r="B79" s="137">
        <v>230</v>
      </c>
      <c r="C79" s="138">
        <v>0.503968253968254</v>
      </c>
      <c r="D79" s="325"/>
      <c r="F79" s="140">
        <v>1</v>
      </c>
      <c r="G79" s="141">
        <f t="shared" si="3"/>
        <v>0.503968253968254</v>
      </c>
    </row>
    <row r="80" spans="1:7" ht="12.75">
      <c r="A80" s="136" t="s">
        <v>383</v>
      </c>
      <c r="B80" s="137">
        <v>249</v>
      </c>
      <c r="C80" s="138">
        <v>0.5</v>
      </c>
      <c r="D80" s="325"/>
      <c r="F80" s="140">
        <v>1</v>
      </c>
      <c r="G80" s="141">
        <f t="shared" si="3"/>
        <v>0.5</v>
      </c>
    </row>
    <row r="81" spans="1:7" ht="12.75">
      <c r="A81" s="136" t="s">
        <v>525</v>
      </c>
      <c r="B81" s="137">
        <v>346</v>
      </c>
      <c r="C81" s="138">
        <v>0.48507462686567165</v>
      </c>
      <c r="D81" s="325"/>
      <c r="F81" s="140">
        <v>1</v>
      </c>
      <c r="G81" s="141">
        <f t="shared" si="3"/>
        <v>0.48507462686567165</v>
      </c>
    </row>
    <row r="82" spans="1:7" ht="12.75">
      <c r="A82" s="136" t="s">
        <v>390</v>
      </c>
      <c r="B82" s="137">
        <v>28</v>
      </c>
      <c r="C82" s="138">
        <v>0.484375</v>
      </c>
      <c r="D82" s="325"/>
      <c r="E82" s="120"/>
      <c r="F82" s="140">
        <v>1</v>
      </c>
      <c r="G82" s="141">
        <f t="shared" si="3"/>
        <v>0.484375</v>
      </c>
    </row>
    <row r="83" spans="1:8" ht="12.75">
      <c r="A83" s="136" t="s">
        <v>131</v>
      </c>
      <c r="B83" s="137">
        <v>28</v>
      </c>
      <c r="C83" s="138">
        <v>0.484375</v>
      </c>
      <c r="D83" s="325">
        <v>30</v>
      </c>
      <c r="E83" s="120">
        <v>60</v>
      </c>
      <c r="F83" s="140">
        <f>D83/E83</f>
        <v>0.5</v>
      </c>
      <c r="G83" s="141">
        <f>C83*0.5/(D83/E83)</f>
        <v>0.484375</v>
      </c>
      <c r="H83" s="213" t="s">
        <v>606</v>
      </c>
    </row>
    <row r="84" spans="1:7" ht="12.75">
      <c r="A84" s="136" t="s">
        <v>450</v>
      </c>
      <c r="B84" s="137">
        <v>234</v>
      </c>
      <c r="C84" s="138">
        <v>0.4826666666666667</v>
      </c>
      <c r="D84" s="325"/>
      <c r="F84" s="140">
        <v>1</v>
      </c>
      <c r="G84" s="141">
        <f t="shared" si="3"/>
        <v>0.4826666666666667</v>
      </c>
    </row>
    <row r="85" spans="1:7" ht="12.75">
      <c r="A85" s="136" t="s">
        <v>369</v>
      </c>
      <c r="B85" s="137">
        <v>183</v>
      </c>
      <c r="C85" s="138">
        <v>0.4805194805194805</v>
      </c>
      <c r="D85" s="325"/>
      <c r="F85" s="140">
        <v>1</v>
      </c>
      <c r="G85" s="141">
        <f t="shared" si="3"/>
        <v>0.4805194805194805</v>
      </c>
    </row>
    <row r="86" spans="1:7" ht="12.75">
      <c r="A86" s="136" t="s">
        <v>467</v>
      </c>
      <c r="B86" s="137">
        <v>17</v>
      </c>
      <c r="C86" s="138">
        <v>0.47985347985347987</v>
      </c>
      <c r="D86" s="325">
        <v>30</v>
      </c>
      <c r="E86" s="108">
        <v>60</v>
      </c>
      <c r="F86" s="140">
        <f>D86/E86</f>
        <v>0.5</v>
      </c>
      <c r="G86" s="141">
        <f t="shared" si="3"/>
        <v>0.9597069597069597</v>
      </c>
    </row>
    <row r="87" spans="1:7" ht="12.75">
      <c r="A87" s="136" t="s">
        <v>508</v>
      </c>
      <c r="B87" s="137">
        <v>240</v>
      </c>
      <c r="C87" s="138">
        <v>0.4791666666666667</v>
      </c>
      <c r="D87" s="325"/>
      <c r="F87" s="140">
        <v>1</v>
      </c>
      <c r="G87" s="141">
        <f t="shared" si="3"/>
        <v>0.4791666666666667</v>
      </c>
    </row>
    <row r="88" spans="1:7" ht="12.75">
      <c r="A88" s="136" t="s">
        <v>455</v>
      </c>
      <c r="B88" s="137">
        <v>106</v>
      </c>
      <c r="C88" s="138">
        <v>0.4783092324805339</v>
      </c>
      <c r="D88" s="325"/>
      <c r="F88" s="140">
        <v>1</v>
      </c>
      <c r="G88" s="141">
        <f t="shared" si="3"/>
        <v>0.4783092324805339</v>
      </c>
    </row>
    <row r="89" spans="1:7" ht="12.75">
      <c r="A89" s="136" t="s">
        <v>537</v>
      </c>
      <c r="B89" s="137">
        <v>919</v>
      </c>
      <c r="C89" s="138">
        <v>0.4777777777777778</v>
      </c>
      <c r="D89" s="325"/>
      <c r="F89" s="140">
        <v>1</v>
      </c>
      <c r="G89" s="141">
        <f t="shared" si="3"/>
        <v>0.4777777777777778</v>
      </c>
    </row>
    <row r="90" spans="1:7" ht="12.75">
      <c r="A90" s="136" t="s">
        <v>510</v>
      </c>
      <c r="B90" s="137">
        <v>921</v>
      </c>
      <c r="C90" s="138">
        <v>0.47101449275362317</v>
      </c>
      <c r="D90" s="325"/>
      <c r="F90" s="140">
        <v>1</v>
      </c>
      <c r="G90" s="141">
        <f t="shared" si="3"/>
        <v>0.47101449275362317</v>
      </c>
    </row>
    <row r="91" spans="1:7" ht="12.75">
      <c r="A91" s="136" t="s">
        <v>473</v>
      </c>
      <c r="B91" s="137">
        <v>70</v>
      </c>
      <c r="C91" s="138">
        <v>0.47001763668430335</v>
      </c>
      <c r="D91" s="325"/>
      <c r="E91" s="120"/>
      <c r="F91" s="140">
        <v>1</v>
      </c>
      <c r="G91" s="141">
        <f t="shared" si="3"/>
        <v>0.47001763668430335</v>
      </c>
    </row>
    <row r="92" spans="1:7" ht="12.75">
      <c r="A92" s="136" t="s">
        <v>477</v>
      </c>
      <c r="B92" s="137">
        <v>31</v>
      </c>
      <c r="C92" s="138">
        <v>0.46825396825396826</v>
      </c>
      <c r="D92" s="325">
        <v>30</v>
      </c>
      <c r="E92" s="108">
        <v>60</v>
      </c>
      <c r="F92" s="140">
        <f>D92/E92</f>
        <v>0.5</v>
      </c>
      <c r="G92" s="141">
        <f t="shared" si="3"/>
        <v>0.9365079365079365</v>
      </c>
    </row>
    <row r="93" spans="1:7" ht="12.75">
      <c r="A93" s="136" t="s">
        <v>565</v>
      </c>
      <c r="B93" s="137">
        <v>18</v>
      </c>
      <c r="C93" s="138">
        <v>0.4563829787234043</v>
      </c>
      <c r="D93" s="325"/>
      <c r="F93" s="140">
        <v>1</v>
      </c>
      <c r="G93" s="141">
        <f t="shared" si="3"/>
        <v>0.4563829787234043</v>
      </c>
    </row>
    <row r="94" spans="1:7" ht="12.75">
      <c r="A94" s="136" t="s">
        <v>505</v>
      </c>
      <c r="B94" s="137">
        <v>148</v>
      </c>
      <c r="C94" s="138">
        <v>0.45555555555555555</v>
      </c>
      <c r="D94" s="325"/>
      <c r="F94" s="140">
        <v>1</v>
      </c>
      <c r="G94" s="141">
        <f t="shared" si="3"/>
        <v>0.45555555555555555</v>
      </c>
    </row>
    <row r="95" spans="1:7" ht="12.75">
      <c r="A95" s="136" t="s">
        <v>463</v>
      </c>
      <c r="B95" s="137">
        <v>5</v>
      </c>
      <c r="C95" s="138">
        <v>0.4541003671970624</v>
      </c>
      <c r="D95" s="325"/>
      <c r="F95" s="140">
        <v>1</v>
      </c>
      <c r="G95" s="141">
        <f t="shared" si="3"/>
        <v>0.4541003671970624</v>
      </c>
    </row>
    <row r="96" spans="1:7" ht="12.75">
      <c r="A96" s="136" t="s">
        <v>494</v>
      </c>
      <c r="B96" s="137">
        <v>107</v>
      </c>
      <c r="C96" s="138">
        <v>0.45112781954887216</v>
      </c>
      <c r="D96" s="325"/>
      <c r="F96" s="140">
        <v>1</v>
      </c>
      <c r="G96" s="141">
        <f t="shared" si="3"/>
        <v>0.45112781954887216</v>
      </c>
    </row>
    <row r="97" spans="1:7" ht="12.75">
      <c r="A97" s="136" t="s">
        <v>380</v>
      </c>
      <c r="B97" s="137">
        <v>27</v>
      </c>
      <c r="C97" s="138">
        <v>0.4441391941391941</v>
      </c>
      <c r="D97" s="325"/>
      <c r="F97" s="140">
        <v>1</v>
      </c>
      <c r="G97" s="141">
        <f t="shared" si="3"/>
        <v>0.4441391941391941</v>
      </c>
    </row>
    <row r="98" spans="1:7" ht="12.75">
      <c r="A98" s="136" t="s">
        <v>516</v>
      </c>
      <c r="B98" s="137">
        <v>105</v>
      </c>
      <c r="C98" s="138">
        <v>0.44146825396825395</v>
      </c>
      <c r="D98" s="325"/>
      <c r="F98" s="140">
        <v>1</v>
      </c>
      <c r="G98" s="141">
        <f t="shared" si="3"/>
        <v>0.44146825396825395</v>
      </c>
    </row>
    <row r="99" spans="1:7" ht="12.75">
      <c r="A99" s="136" t="s">
        <v>528</v>
      </c>
      <c r="B99" s="137">
        <v>124</v>
      </c>
      <c r="C99" s="138">
        <v>0.43287037037037035</v>
      </c>
      <c r="D99" s="325"/>
      <c r="F99" s="140">
        <v>1</v>
      </c>
      <c r="G99" s="141">
        <f t="shared" si="3"/>
        <v>0.43287037037037035</v>
      </c>
    </row>
    <row r="100" spans="1:7" ht="12.75">
      <c r="A100" s="136" t="s">
        <v>526</v>
      </c>
      <c r="B100" s="137">
        <v>917</v>
      </c>
      <c r="C100" s="138">
        <v>0.4307692307692308</v>
      </c>
      <c r="D100" s="325"/>
      <c r="F100" s="140">
        <v>1</v>
      </c>
      <c r="G100" s="141">
        <f t="shared" si="3"/>
        <v>0.4307692307692308</v>
      </c>
    </row>
    <row r="101" spans="1:7" ht="12.75">
      <c r="A101" s="136" t="s">
        <v>493</v>
      </c>
      <c r="B101" s="137">
        <v>24</v>
      </c>
      <c r="C101" s="138">
        <v>0.4289256198347107</v>
      </c>
      <c r="D101" s="325"/>
      <c r="F101" s="140">
        <v>1</v>
      </c>
      <c r="G101" s="141">
        <f t="shared" si="3"/>
        <v>0.4289256198347107</v>
      </c>
    </row>
    <row r="102" spans="1:7" ht="12.75">
      <c r="A102" s="136" t="s">
        <v>475</v>
      </c>
      <c r="B102" s="137">
        <v>55</v>
      </c>
      <c r="C102" s="138">
        <v>0.42865853658536585</v>
      </c>
      <c r="D102" s="325"/>
      <c r="F102" s="140">
        <v>1</v>
      </c>
      <c r="G102" s="141">
        <f aca="true" t="shared" si="4" ref="G102:G133">C102/F102</f>
        <v>0.42865853658536585</v>
      </c>
    </row>
    <row r="103" spans="1:7" ht="12.75">
      <c r="A103" s="136" t="s">
        <v>517</v>
      </c>
      <c r="B103" s="137">
        <v>347</v>
      </c>
      <c r="C103" s="138">
        <v>0.42658730158730157</v>
      </c>
      <c r="D103" s="325">
        <v>30</v>
      </c>
      <c r="E103" s="108">
        <v>60</v>
      </c>
      <c r="F103" s="140">
        <f>D103/E103</f>
        <v>0.5</v>
      </c>
      <c r="G103" s="141">
        <f t="shared" si="4"/>
        <v>0.8531746031746031</v>
      </c>
    </row>
    <row r="104" spans="1:7" ht="12.75">
      <c r="A104" s="136" t="s">
        <v>485</v>
      </c>
      <c r="B104" s="137">
        <v>245</v>
      </c>
      <c r="C104" s="138">
        <v>0.42610837438423643</v>
      </c>
      <c r="D104" s="325"/>
      <c r="F104" s="140">
        <v>1</v>
      </c>
      <c r="G104" s="141">
        <f t="shared" si="4"/>
        <v>0.42610837438423643</v>
      </c>
    </row>
    <row r="105" spans="1:7" ht="12.75">
      <c r="A105" s="136" t="s">
        <v>544</v>
      </c>
      <c r="B105" s="137">
        <v>182</v>
      </c>
      <c r="C105" s="138">
        <v>0.41898148148148145</v>
      </c>
      <c r="D105" s="325"/>
      <c r="F105" s="140">
        <v>1</v>
      </c>
      <c r="G105" s="141">
        <f t="shared" si="4"/>
        <v>0.41898148148148145</v>
      </c>
    </row>
    <row r="106" spans="1:7" ht="12.75">
      <c r="A106" s="136" t="s">
        <v>514</v>
      </c>
      <c r="B106" s="137">
        <v>21</v>
      </c>
      <c r="C106" s="138">
        <v>0.4100817438692098</v>
      </c>
      <c r="D106" s="325"/>
      <c r="F106" s="140">
        <v>1</v>
      </c>
      <c r="G106" s="141">
        <f t="shared" si="4"/>
        <v>0.4100817438692098</v>
      </c>
    </row>
    <row r="107" spans="1:7" ht="12.75">
      <c r="A107" s="136" t="s">
        <v>374</v>
      </c>
      <c r="B107" s="137">
        <v>155</v>
      </c>
      <c r="C107" s="138">
        <v>0.3972222222222222</v>
      </c>
      <c r="D107" s="325"/>
      <c r="F107" s="140">
        <v>1</v>
      </c>
      <c r="G107" s="141">
        <f t="shared" si="4"/>
        <v>0.3972222222222222</v>
      </c>
    </row>
    <row r="108" spans="1:7" ht="12.75">
      <c r="A108" s="136" t="s">
        <v>469</v>
      </c>
      <c r="B108" s="137">
        <v>26</v>
      </c>
      <c r="C108" s="138">
        <v>0.390625</v>
      </c>
      <c r="D108" s="325"/>
      <c r="F108" s="140">
        <v>1</v>
      </c>
      <c r="G108" s="141">
        <f t="shared" si="4"/>
        <v>0.390625</v>
      </c>
    </row>
    <row r="109" spans="1:7" ht="12.75">
      <c r="A109" s="136" t="s">
        <v>490</v>
      </c>
      <c r="B109" s="137">
        <v>14</v>
      </c>
      <c r="C109" s="138">
        <v>0.3871252204585538</v>
      </c>
      <c r="D109" s="325"/>
      <c r="F109" s="140">
        <v>1</v>
      </c>
      <c r="G109" s="141">
        <f t="shared" si="4"/>
        <v>0.3871252204585538</v>
      </c>
    </row>
    <row r="110" spans="1:7" ht="12.75">
      <c r="A110" s="136" t="s">
        <v>540</v>
      </c>
      <c r="B110" s="137">
        <v>230</v>
      </c>
      <c r="C110" s="138">
        <v>0.38666666666666666</v>
      </c>
      <c r="D110" s="325"/>
      <c r="F110" s="140">
        <v>1</v>
      </c>
      <c r="G110" s="141">
        <f t="shared" si="4"/>
        <v>0.38666666666666666</v>
      </c>
    </row>
    <row r="111" spans="1:7" ht="12.75">
      <c r="A111" s="136" t="s">
        <v>502</v>
      </c>
      <c r="B111" s="137">
        <v>221</v>
      </c>
      <c r="C111" s="138">
        <v>0.3782608695652174</v>
      </c>
      <c r="D111" s="325"/>
      <c r="F111" s="140">
        <v>1</v>
      </c>
      <c r="G111" s="141">
        <f t="shared" si="4"/>
        <v>0.3782608695652174</v>
      </c>
    </row>
    <row r="112" spans="1:7" ht="12.75">
      <c r="A112" s="136" t="s">
        <v>368</v>
      </c>
      <c r="B112" s="137">
        <v>901</v>
      </c>
      <c r="C112" s="138">
        <v>0.37681159420289856</v>
      </c>
      <c r="D112" s="325"/>
      <c r="F112" s="140">
        <v>1</v>
      </c>
      <c r="G112" s="141">
        <f t="shared" si="4"/>
        <v>0.37681159420289856</v>
      </c>
    </row>
    <row r="113" spans="1:7" ht="12.75">
      <c r="A113" s="136" t="s">
        <v>378</v>
      </c>
      <c r="B113" s="137">
        <v>39</v>
      </c>
      <c r="C113" s="138">
        <v>0.3760869565217391</v>
      </c>
      <c r="D113" s="325"/>
      <c r="F113" s="140">
        <v>1</v>
      </c>
      <c r="G113" s="141">
        <f t="shared" si="4"/>
        <v>0.3760869565217391</v>
      </c>
    </row>
    <row r="114" spans="1:7" ht="12.75">
      <c r="A114" s="136" t="s">
        <v>382</v>
      </c>
      <c r="B114" s="137">
        <v>233</v>
      </c>
      <c r="C114" s="138">
        <v>0.3638888888888889</v>
      </c>
      <c r="D114" s="325"/>
      <c r="F114" s="140">
        <v>1</v>
      </c>
      <c r="G114" s="141">
        <f t="shared" si="4"/>
        <v>0.3638888888888889</v>
      </c>
    </row>
    <row r="115" spans="1:7" ht="12.75">
      <c r="A115" s="136" t="s">
        <v>527</v>
      </c>
      <c r="B115" s="137">
        <v>23</v>
      </c>
      <c r="C115" s="138">
        <v>0.3635817307692308</v>
      </c>
      <c r="D115" s="325"/>
      <c r="F115" s="140">
        <v>1</v>
      </c>
      <c r="G115" s="141">
        <f t="shared" si="4"/>
        <v>0.3635817307692308</v>
      </c>
    </row>
    <row r="116" spans="1:7" ht="12.75">
      <c r="A116" s="136" t="s">
        <v>522</v>
      </c>
      <c r="B116" s="137">
        <v>43</v>
      </c>
      <c r="C116" s="138">
        <v>0.36335403726708076</v>
      </c>
      <c r="D116" s="325"/>
      <c r="F116" s="140">
        <v>1</v>
      </c>
      <c r="G116" s="141">
        <f t="shared" si="4"/>
        <v>0.36335403726708076</v>
      </c>
    </row>
    <row r="117" spans="1:7" ht="12.75">
      <c r="A117" s="136" t="s">
        <v>545</v>
      </c>
      <c r="B117" s="137">
        <v>194</v>
      </c>
      <c r="C117" s="138">
        <v>0.35551075268817206</v>
      </c>
      <c r="D117" s="325"/>
      <c r="F117" s="140">
        <v>1</v>
      </c>
      <c r="G117" s="141">
        <f t="shared" si="4"/>
        <v>0.35551075268817206</v>
      </c>
    </row>
    <row r="118" spans="1:7" ht="12.75">
      <c r="A118" s="136" t="s">
        <v>466</v>
      </c>
      <c r="B118" s="137">
        <v>248</v>
      </c>
      <c r="C118" s="138">
        <v>0.3472222222222222</v>
      </c>
      <c r="D118" s="325"/>
      <c r="F118" s="140">
        <v>1</v>
      </c>
      <c r="G118" s="141">
        <f t="shared" si="4"/>
        <v>0.3472222222222222</v>
      </c>
    </row>
    <row r="119" spans="1:7" ht="12.75">
      <c r="A119" s="136" t="s">
        <v>548</v>
      </c>
      <c r="B119" s="137">
        <v>204</v>
      </c>
      <c r="C119" s="138">
        <v>0.33796296296296297</v>
      </c>
      <c r="D119" s="325"/>
      <c r="F119" s="140">
        <v>1</v>
      </c>
      <c r="G119" s="141">
        <f t="shared" si="4"/>
        <v>0.33796296296296297</v>
      </c>
    </row>
    <row r="120" spans="1:7" ht="12.75">
      <c r="A120" s="136" t="s">
        <v>376</v>
      </c>
      <c r="B120" s="137">
        <v>909</v>
      </c>
      <c r="C120" s="138">
        <v>0.3333333333333333</v>
      </c>
      <c r="D120" s="325"/>
      <c r="F120" s="140">
        <v>1</v>
      </c>
      <c r="G120" s="141">
        <f t="shared" si="4"/>
        <v>0.3333333333333333</v>
      </c>
    </row>
    <row r="121" spans="1:7" ht="12.75">
      <c r="A121" s="136" t="s">
        <v>474</v>
      </c>
      <c r="B121" s="137">
        <v>33</v>
      </c>
      <c r="C121" s="138">
        <v>0.32356020942408376</v>
      </c>
      <c r="D121" s="325"/>
      <c r="F121" s="140">
        <v>1</v>
      </c>
      <c r="G121" s="141">
        <f t="shared" si="4"/>
        <v>0.32356020942408376</v>
      </c>
    </row>
    <row r="122" spans="1:7" ht="12.75">
      <c r="A122" s="136" t="s">
        <v>566</v>
      </c>
      <c r="B122" s="137">
        <v>56</v>
      </c>
      <c r="C122" s="138">
        <v>0.32002801120448177</v>
      </c>
      <c r="D122" s="325"/>
      <c r="F122" s="140">
        <v>1</v>
      </c>
      <c r="G122" s="141">
        <f t="shared" si="4"/>
        <v>0.32002801120448177</v>
      </c>
    </row>
    <row r="123" spans="1:7" ht="12.75">
      <c r="A123" s="136" t="s">
        <v>367</v>
      </c>
      <c r="B123" s="137">
        <v>187</v>
      </c>
      <c r="C123" s="138">
        <v>0.31712962962962965</v>
      </c>
      <c r="D123" s="325"/>
      <c r="F123" s="140">
        <v>1</v>
      </c>
      <c r="G123" s="141">
        <f t="shared" si="4"/>
        <v>0.31712962962962965</v>
      </c>
    </row>
    <row r="124" spans="1:7" ht="12.75">
      <c r="A124" s="136" t="s">
        <v>567</v>
      </c>
      <c r="B124" s="137">
        <v>7</v>
      </c>
      <c r="C124" s="138">
        <v>0.3142857142857143</v>
      </c>
      <c r="D124" s="325"/>
      <c r="F124" s="140">
        <v>1</v>
      </c>
      <c r="G124" s="141">
        <f t="shared" si="4"/>
        <v>0.3142857142857143</v>
      </c>
    </row>
    <row r="125" spans="1:7" ht="12.75">
      <c r="A125" s="136" t="s">
        <v>523</v>
      </c>
      <c r="B125" s="137">
        <v>22</v>
      </c>
      <c r="C125" s="138">
        <v>0.3113577023498694</v>
      </c>
      <c r="D125" s="325"/>
      <c r="F125" s="140">
        <v>1</v>
      </c>
      <c r="G125" s="141">
        <f t="shared" si="4"/>
        <v>0.3113577023498694</v>
      </c>
    </row>
    <row r="126" spans="1:7" ht="12.75">
      <c r="A126" s="136" t="s">
        <v>568</v>
      </c>
      <c r="B126" s="137">
        <v>213</v>
      </c>
      <c r="C126" s="138">
        <v>0.3055555555555556</v>
      </c>
      <c r="D126" s="325"/>
      <c r="F126" s="140">
        <v>1</v>
      </c>
      <c r="G126" s="141">
        <f t="shared" si="4"/>
        <v>0.3055555555555556</v>
      </c>
    </row>
    <row r="127" spans="1:7" ht="12.75">
      <c r="A127" s="136" t="s">
        <v>468</v>
      </c>
      <c r="B127" s="137">
        <v>222</v>
      </c>
      <c r="C127" s="138">
        <v>0.30416666666666664</v>
      </c>
      <c r="D127" s="325"/>
      <c r="F127" s="140">
        <v>1</v>
      </c>
      <c r="G127" s="141">
        <f t="shared" si="4"/>
        <v>0.30416666666666664</v>
      </c>
    </row>
    <row r="128" spans="1:7" ht="12.75">
      <c r="A128" s="136" t="s">
        <v>375</v>
      </c>
      <c r="B128" s="137">
        <v>908</v>
      </c>
      <c r="C128" s="138">
        <v>0.3</v>
      </c>
      <c r="D128" s="325"/>
      <c r="F128" s="140">
        <v>1</v>
      </c>
      <c r="G128" s="141">
        <f t="shared" si="4"/>
        <v>0.3</v>
      </c>
    </row>
    <row r="129" spans="1:7" ht="12.75">
      <c r="A129" s="136" t="s">
        <v>521</v>
      </c>
      <c r="B129" s="137">
        <v>915</v>
      </c>
      <c r="C129" s="138">
        <v>0.2976190476190476</v>
      </c>
      <c r="D129" s="325"/>
      <c r="F129" s="140">
        <v>1</v>
      </c>
      <c r="G129" s="141">
        <f t="shared" si="4"/>
        <v>0.2976190476190476</v>
      </c>
    </row>
    <row r="130" spans="1:7" ht="12.75">
      <c r="A130" s="136" t="s">
        <v>541</v>
      </c>
      <c r="B130" s="137">
        <v>200</v>
      </c>
      <c r="C130" s="138">
        <v>0.29398148148148145</v>
      </c>
      <c r="D130" s="325"/>
      <c r="F130" s="140">
        <v>1</v>
      </c>
      <c r="G130" s="141">
        <f t="shared" si="4"/>
        <v>0.29398148148148145</v>
      </c>
    </row>
    <row r="131" spans="1:7" ht="12.75">
      <c r="A131" s="136" t="s">
        <v>533</v>
      </c>
      <c r="B131" s="137">
        <v>929</v>
      </c>
      <c r="C131" s="138">
        <v>0.28888888888888886</v>
      </c>
      <c r="D131" s="325"/>
      <c r="F131" s="140">
        <v>1</v>
      </c>
      <c r="G131" s="141">
        <f t="shared" si="4"/>
        <v>0.28888888888888886</v>
      </c>
    </row>
    <row r="132" spans="1:7" ht="12.75">
      <c r="A132" s="136" t="s">
        <v>531</v>
      </c>
      <c r="B132" s="137">
        <v>238</v>
      </c>
      <c r="C132" s="138">
        <v>0.2777777777777778</v>
      </c>
      <c r="D132" s="325"/>
      <c r="F132" s="140">
        <v>1</v>
      </c>
      <c r="G132" s="141">
        <f t="shared" si="4"/>
        <v>0.2777777777777778</v>
      </c>
    </row>
    <row r="133" spans="1:7" ht="12.75">
      <c r="A133" s="136" t="s">
        <v>386</v>
      </c>
      <c r="B133" s="137">
        <v>25</v>
      </c>
      <c r="C133" s="138">
        <v>0.2748917748917749</v>
      </c>
      <c r="D133" s="325"/>
      <c r="F133" s="140">
        <v>1</v>
      </c>
      <c r="G133" s="141">
        <f t="shared" si="4"/>
        <v>0.2748917748917749</v>
      </c>
    </row>
    <row r="134" spans="1:7" ht="12.75">
      <c r="A134" s="136" t="s">
        <v>532</v>
      </c>
      <c r="B134" s="137">
        <v>927</v>
      </c>
      <c r="C134" s="138">
        <v>0.2722222222222222</v>
      </c>
      <c r="D134" s="325"/>
      <c r="F134" s="140">
        <v>1</v>
      </c>
      <c r="G134" s="141">
        <f aca="true" t="shared" si="5" ref="G134:G157">C134/F134</f>
        <v>0.2722222222222222</v>
      </c>
    </row>
    <row r="135" spans="1:7" ht="12.75">
      <c r="A135" s="136" t="s">
        <v>384</v>
      </c>
      <c r="B135" s="137">
        <v>251</v>
      </c>
      <c r="C135" s="138">
        <v>0.2698412698412698</v>
      </c>
      <c r="D135" s="325"/>
      <c r="F135" s="140">
        <v>1</v>
      </c>
      <c r="G135" s="141">
        <f t="shared" si="5"/>
        <v>0.2698412698412698</v>
      </c>
    </row>
    <row r="136" spans="1:7" ht="12.75">
      <c r="A136" s="136" t="s">
        <v>538</v>
      </c>
      <c r="B136" s="137">
        <v>926</v>
      </c>
      <c r="C136" s="138">
        <v>0.25555555555555554</v>
      </c>
      <c r="D136" s="325"/>
      <c r="F136" s="140">
        <v>1</v>
      </c>
      <c r="G136" s="141">
        <f t="shared" si="5"/>
        <v>0.25555555555555554</v>
      </c>
    </row>
    <row r="137" spans="1:7" ht="12.75">
      <c r="A137" s="136" t="s">
        <v>381</v>
      </c>
      <c r="B137" s="137">
        <v>209</v>
      </c>
      <c r="C137" s="138">
        <v>0.24722222222222223</v>
      </c>
      <c r="D137" s="325"/>
      <c r="F137" s="140">
        <v>1</v>
      </c>
      <c r="G137" s="141">
        <f t="shared" si="5"/>
        <v>0.24722222222222223</v>
      </c>
    </row>
    <row r="138" spans="1:7" ht="12.75">
      <c r="A138" s="136" t="s">
        <v>547</v>
      </c>
      <c r="B138" s="137">
        <v>99</v>
      </c>
      <c r="C138" s="138">
        <v>0.24404761904761904</v>
      </c>
      <c r="D138" s="325"/>
      <c r="F138" s="140">
        <v>1</v>
      </c>
      <c r="G138" s="141">
        <f t="shared" si="5"/>
        <v>0.24404761904761904</v>
      </c>
    </row>
    <row r="139" spans="1:7" ht="12.75">
      <c r="A139" s="136" t="s">
        <v>370</v>
      </c>
      <c r="B139" s="137">
        <v>153</v>
      </c>
      <c r="C139" s="138">
        <v>0.24133333333333334</v>
      </c>
      <c r="D139" s="325"/>
      <c r="F139" s="140">
        <v>1</v>
      </c>
      <c r="G139" s="141">
        <f t="shared" si="5"/>
        <v>0.24133333333333334</v>
      </c>
    </row>
    <row r="140" spans="1:7" ht="12.75">
      <c r="A140" s="136" t="s">
        <v>543</v>
      </c>
      <c r="B140" s="137">
        <v>203</v>
      </c>
      <c r="C140" s="138">
        <v>0.2222222222222222</v>
      </c>
      <c r="D140" s="325"/>
      <c r="F140" s="140">
        <v>1</v>
      </c>
      <c r="G140" s="141">
        <f t="shared" si="5"/>
        <v>0.2222222222222222</v>
      </c>
    </row>
    <row r="141" spans="1:7" ht="12.75">
      <c r="A141" s="136" t="s">
        <v>372</v>
      </c>
      <c r="B141" s="137">
        <v>139</v>
      </c>
      <c r="C141" s="138">
        <v>0.21428571428571427</v>
      </c>
      <c r="D141" s="325"/>
      <c r="F141" s="140">
        <v>1</v>
      </c>
      <c r="G141" s="141">
        <f t="shared" si="5"/>
        <v>0.21428571428571427</v>
      </c>
    </row>
    <row r="142" spans="1:7" ht="12.75">
      <c r="A142" s="136" t="s">
        <v>385</v>
      </c>
      <c r="B142" s="137">
        <v>935</v>
      </c>
      <c r="C142" s="138">
        <v>0.2</v>
      </c>
      <c r="D142" s="325"/>
      <c r="F142" s="140">
        <v>1</v>
      </c>
      <c r="G142" s="141">
        <f t="shared" si="5"/>
        <v>0.2</v>
      </c>
    </row>
    <row r="143" spans="1:7" ht="12.75">
      <c r="A143" s="136" t="s">
        <v>530</v>
      </c>
      <c r="B143" s="137">
        <v>236</v>
      </c>
      <c r="C143" s="138">
        <v>0.19444444444444445</v>
      </c>
      <c r="D143" s="325"/>
      <c r="F143" s="140">
        <v>1</v>
      </c>
      <c r="G143" s="141">
        <f t="shared" si="5"/>
        <v>0.19444444444444445</v>
      </c>
    </row>
    <row r="144" spans="1:7" ht="12.75">
      <c r="A144" s="136" t="s">
        <v>371</v>
      </c>
      <c r="B144" s="137">
        <v>149</v>
      </c>
      <c r="C144" s="138">
        <v>0.18571428571428572</v>
      </c>
      <c r="D144" s="325"/>
      <c r="F144" s="140">
        <v>1</v>
      </c>
      <c r="G144" s="141">
        <f t="shared" si="5"/>
        <v>0.18571428571428572</v>
      </c>
    </row>
    <row r="145" spans="1:7" ht="12.75">
      <c r="A145" s="136" t="s">
        <v>569</v>
      </c>
      <c r="B145" s="137">
        <v>36</v>
      </c>
      <c r="C145" s="138">
        <v>0.16666666666666666</v>
      </c>
      <c r="D145" s="325"/>
      <c r="F145" s="140">
        <v>1</v>
      </c>
      <c r="G145" s="141">
        <f t="shared" si="5"/>
        <v>0.16666666666666666</v>
      </c>
    </row>
    <row r="146" spans="1:7" ht="12.75">
      <c r="A146" s="136" t="s">
        <v>557</v>
      </c>
      <c r="B146" s="137">
        <v>119</v>
      </c>
      <c r="C146" s="138">
        <v>0.16176470588235295</v>
      </c>
      <c r="D146" s="325"/>
      <c r="F146" s="140">
        <v>1</v>
      </c>
      <c r="G146" s="141">
        <f t="shared" si="5"/>
        <v>0.16176470588235295</v>
      </c>
    </row>
    <row r="147" spans="1:7" ht="12.75">
      <c r="A147" s="136" t="s">
        <v>377</v>
      </c>
      <c r="B147" s="137">
        <v>51</v>
      </c>
      <c r="C147" s="138">
        <v>0.1590909090909091</v>
      </c>
      <c r="D147" s="325"/>
      <c r="F147" s="140">
        <v>1</v>
      </c>
      <c r="G147" s="141">
        <f t="shared" si="5"/>
        <v>0.1590909090909091</v>
      </c>
    </row>
    <row r="148" spans="1:7" ht="12.75">
      <c r="A148" s="136" t="s">
        <v>546</v>
      </c>
      <c r="B148" s="137">
        <v>42</v>
      </c>
      <c r="C148" s="138">
        <v>0.15674603174603174</v>
      </c>
      <c r="D148" s="325"/>
      <c r="F148" s="140">
        <v>1</v>
      </c>
      <c r="G148" s="141">
        <f t="shared" si="5"/>
        <v>0.15674603174603174</v>
      </c>
    </row>
    <row r="149" spans="1:7" ht="12.75">
      <c r="A149" s="136" t="s">
        <v>536</v>
      </c>
      <c r="B149" s="137">
        <v>118</v>
      </c>
      <c r="C149" s="138">
        <v>0.13529411764705881</v>
      </c>
      <c r="D149" s="325"/>
      <c r="F149" s="140">
        <v>1</v>
      </c>
      <c r="G149" s="141">
        <f t="shared" si="5"/>
        <v>0.13529411764705881</v>
      </c>
    </row>
    <row r="150" spans="1:7" ht="12.75">
      <c r="A150" s="136" t="s">
        <v>556</v>
      </c>
      <c r="B150" s="137">
        <v>46</v>
      </c>
      <c r="C150" s="138">
        <v>0.13333333333333333</v>
      </c>
      <c r="D150" s="325"/>
      <c r="F150" s="140">
        <v>1</v>
      </c>
      <c r="G150" s="141">
        <f t="shared" si="5"/>
        <v>0.13333333333333333</v>
      </c>
    </row>
    <row r="151" spans="1:7" ht="12.75">
      <c r="A151" s="136" t="s">
        <v>549</v>
      </c>
      <c r="B151" s="137">
        <v>53</v>
      </c>
      <c r="C151" s="138">
        <v>0.13333333333333333</v>
      </c>
      <c r="D151" s="325"/>
      <c r="F151" s="140">
        <v>1</v>
      </c>
      <c r="G151" s="141">
        <f t="shared" si="5"/>
        <v>0.13333333333333333</v>
      </c>
    </row>
    <row r="152" spans="1:7" ht="12.75">
      <c r="A152" s="136" t="s">
        <v>515</v>
      </c>
      <c r="B152" s="137">
        <v>118</v>
      </c>
      <c r="C152" s="138">
        <v>0.11764705882352941</v>
      </c>
      <c r="D152" s="325"/>
      <c r="F152" s="140">
        <v>1</v>
      </c>
      <c r="G152" s="141">
        <f t="shared" si="5"/>
        <v>0.11764705882352941</v>
      </c>
    </row>
    <row r="153" spans="1:7" ht="12.75">
      <c r="A153" s="136" t="s">
        <v>551</v>
      </c>
      <c r="B153" s="137">
        <v>913</v>
      </c>
      <c r="C153" s="138">
        <v>0.11666666666666667</v>
      </c>
      <c r="D153" s="325"/>
      <c r="F153" s="140">
        <v>1</v>
      </c>
      <c r="G153" s="141">
        <f t="shared" si="5"/>
        <v>0.11666666666666667</v>
      </c>
    </row>
    <row r="154" spans="1:7" ht="12.75">
      <c r="A154" s="136" t="s">
        <v>550</v>
      </c>
      <c r="B154" s="137">
        <v>38</v>
      </c>
      <c r="C154" s="138">
        <v>0.11372549019607843</v>
      </c>
      <c r="D154" s="325"/>
      <c r="F154" s="140">
        <v>1</v>
      </c>
      <c r="G154" s="141">
        <f t="shared" si="5"/>
        <v>0.11372549019607843</v>
      </c>
    </row>
    <row r="155" spans="1:7" ht="12.75">
      <c r="A155" s="136" t="s">
        <v>570</v>
      </c>
      <c r="B155" s="137">
        <v>49</v>
      </c>
      <c r="C155" s="138">
        <v>0.07142857142857142</v>
      </c>
      <c r="D155" s="325"/>
      <c r="F155" s="140">
        <v>1</v>
      </c>
      <c r="G155" s="141">
        <f t="shared" si="5"/>
        <v>0.07142857142857142</v>
      </c>
    </row>
    <row r="156" spans="1:7" ht="12.75">
      <c r="A156" s="136" t="s">
        <v>571</v>
      </c>
      <c r="B156" s="137">
        <v>912</v>
      </c>
      <c r="C156" s="138">
        <v>0.05238095238095238</v>
      </c>
      <c r="D156" s="325"/>
      <c r="F156" s="140">
        <v>1</v>
      </c>
      <c r="G156" s="141">
        <f t="shared" si="5"/>
        <v>0.05238095238095238</v>
      </c>
    </row>
    <row r="157" spans="1:7" ht="12.75">
      <c r="A157" s="136" t="s">
        <v>572</v>
      </c>
      <c r="B157" s="137">
        <v>10</v>
      </c>
      <c r="C157" s="138">
        <v>0.023809523809523808</v>
      </c>
      <c r="D157" s="325"/>
      <c r="F157" s="140">
        <v>1</v>
      </c>
      <c r="G157" s="141">
        <f t="shared" si="5"/>
        <v>0.023809523809523808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0.140625" style="0" bestFit="1" customWidth="1"/>
    <col min="2" max="2" width="15.421875" style="27" bestFit="1" customWidth="1"/>
    <col min="3" max="3" width="12.8515625" style="27" customWidth="1"/>
    <col min="4" max="4" width="19.7109375" style="287" customWidth="1"/>
    <col min="5" max="5" width="13.28125" style="79" bestFit="1" customWidth="1"/>
    <col min="6" max="6" width="14.00390625" style="79" bestFit="1" customWidth="1"/>
  </cols>
  <sheetData>
    <row r="1" spans="1:6" ht="12.75">
      <c r="A1" s="270" t="s">
        <v>747</v>
      </c>
      <c r="B1" s="27" t="s">
        <v>707</v>
      </c>
      <c r="C1" s="27" t="s">
        <v>708</v>
      </c>
      <c r="D1" s="287" t="s">
        <v>736</v>
      </c>
      <c r="E1" s="79" t="s">
        <v>709</v>
      </c>
      <c r="F1" s="79" t="s">
        <v>710</v>
      </c>
    </row>
    <row r="2" spans="1:6" ht="12.75">
      <c r="A2" s="270" t="s">
        <v>212</v>
      </c>
      <c r="B2" s="27">
        <v>3584</v>
      </c>
      <c r="C2" s="27">
        <v>25076</v>
      </c>
      <c r="D2" s="287">
        <v>7.86826255662</v>
      </c>
      <c r="E2" s="27">
        <f>B2/D2</f>
        <v>455.50081408818573</v>
      </c>
      <c r="F2" s="27">
        <f>C2/D2</f>
        <v>3186.9805842844157</v>
      </c>
    </row>
    <row r="3" spans="1:6" ht="12.75">
      <c r="A3" s="270" t="s">
        <v>207</v>
      </c>
      <c r="B3" s="27">
        <v>18867</v>
      </c>
      <c r="C3" s="27">
        <v>114907</v>
      </c>
      <c r="D3" s="287">
        <v>10.34</v>
      </c>
      <c r="E3" s="27">
        <f aca="true" t="shared" si="0" ref="E3:E66">B3/D3</f>
        <v>1824.6615087040618</v>
      </c>
      <c r="F3" s="27">
        <f aca="true" t="shared" si="1" ref="F3:F66">C3/D3</f>
        <v>11112.862669245647</v>
      </c>
    </row>
    <row r="4" spans="1:6" ht="12.75">
      <c r="A4" s="270" t="s">
        <v>118</v>
      </c>
      <c r="B4" s="27">
        <v>11958</v>
      </c>
      <c r="C4" s="27">
        <v>33243</v>
      </c>
      <c r="D4" s="287">
        <v>10.1638732911</v>
      </c>
      <c r="E4" s="27">
        <f t="shared" si="0"/>
        <v>1176.5199798851318</v>
      </c>
      <c r="F4" s="27">
        <f t="shared" si="1"/>
        <v>3270.7019310354103</v>
      </c>
    </row>
    <row r="5" spans="1:6" ht="12.75">
      <c r="A5" s="270" t="s">
        <v>10</v>
      </c>
      <c r="B5" s="27">
        <v>20635</v>
      </c>
      <c r="C5" s="27">
        <v>102628</v>
      </c>
      <c r="D5" s="287">
        <v>5.7</v>
      </c>
      <c r="E5" s="27">
        <f t="shared" si="0"/>
        <v>3620.175438596491</v>
      </c>
      <c r="F5" s="27">
        <f t="shared" si="1"/>
        <v>18004.912280701752</v>
      </c>
    </row>
    <row r="6" spans="1:6" ht="12.75">
      <c r="A6" s="270" t="s">
        <v>161</v>
      </c>
      <c r="B6" s="27">
        <v>11464</v>
      </c>
      <c r="C6" s="27">
        <v>32506</v>
      </c>
      <c r="D6" s="287">
        <v>15.1202837312</v>
      </c>
      <c r="E6" s="27">
        <f t="shared" si="0"/>
        <v>758.1868306045455</v>
      </c>
      <c r="F6" s="27">
        <f t="shared" si="1"/>
        <v>2149.827382731277</v>
      </c>
    </row>
    <row r="7" spans="1:6" ht="12.75">
      <c r="A7" s="270" t="s">
        <v>150</v>
      </c>
      <c r="B7" s="27">
        <v>13539</v>
      </c>
      <c r="C7" s="27">
        <v>86413</v>
      </c>
      <c r="D7" s="287">
        <v>8.85</v>
      </c>
      <c r="E7" s="27">
        <f t="shared" si="0"/>
        <v>1529.8305084745764</v>
      </c>
      <c r="F7" s="27">
        <f t="shared" si="1"/>
        <v>9764.180790960452</v>
      </c>
    </row>
    <row r="8" spans="1:6" ht="12.75">
      <c r="A8" s="270" t="s">
        <v>44</v>
      </c>
      <c r="B8" s="27">
        <v>16126</v>
      </c>
      <c r="C8" s="27">
        <v>80128</v>
      </c>
      <c r="D8" s="287">
        <v>13.8210060896</v>
      </c>
      <c r="E8" s="27">
        <f t="shared" si="0"/>
        <v>1166.774683077121</v>
      </c>
      <c r="F8" s="27">
        <f t="shared" si="1"/>
        <v>5797.55189170306</v>
      </c>
    </row>
    <row r="9" spans="1:6" ht="12.75">
      <c r="A9" s="270" t="s">
        <v>153</v>
      </c>
      <c r="B9" s="27">
        <v>17697</v>
      </c>
      <c r="C9" s="27">
        <v>100039</v>
      </c>
      <c r="D9" s="287">
        <v>12.68</v>
      </c>
      <c r="E9" s="27">
        <f t="shared" si="0"/>
        <v>1395.6624605678235</v>
      </c>
      <c r="F9" s="27">
        <f t="shared" si="1"/>
        <v>7889.511041009464</v>
      </c>
    </row>
    <row r="10" spans="1:6" ht="12.75">
      <c r="A10" s="270" t="s">
        <v>47</v>
      </c>
      <c r="B10" s="27">
        <v>22724</v>
      </c>
      <c r="C10" s="27">
        <v>49745</v>
      </c>
      <c r="D10" s="287">
        <v>16.6017395195</v>
      </c>
      <c r="E10" s="27">
        <f t="shared" si="0"/>
        <v>1368.7722285552632</v>
      </c>
      <c r="F10" s="27">
        <f t="shared" si="1"/>
        <v>2996.3727560940665</v>
      </c>
    </row>
    <row r="11" spans="1:6" ht="12.75">
      <c r="A11" s="270" t="s">
        <v>123</v>
      </c>
      <c r="B11" s="27">
        <v>7838</v>
      </c>
      <c r="C11" s="27">
        <v>63058</v>
      </c>
      <c r="D11" s="287">
        <v>10.39</v>
      </c>
      <c r="E11" s="27">
        <f t="shared" si="0"/>
        <v>754.3792107795957</v>
      </c>
      <c r="F11" s="27">
        <f t="shared" si="1"/>
        <v>6069.104908565929</v>
      </c>
    </row>
    <row r="12" spans="1:6" ht="12.75">
      <c r="A12" s="270" t="s">
        <v>29</v>
      </c>
      <c r="B12" s="27">
        <v>20063</v>
      </c>
      <c r="C12" s="27">
        <v>103289</v>
      </c>
      <c r="D12" s="287">
        <v>4.83398511568</v>
      </c>
      <c r="E12" s="27">
        <f t="shared" si="0"/>
        <v>4150.405828706761</v>
      </c>
      <c r="F12" s="27">
        <f t="shared" si="1"/>
        <v>21367.25652401399</v>
      </c>
    </row>
    <row r="13" spans="1:6" ht="12.75">
      <c r="A13" s="270" t="s">
        <v>78</v>
      </c>
      <c r="B13" s="27">
        <v>11540</v>
      </c>
      <c r="C13" s="27">
        <v>88709</v>
      </c>
      <c r="D13" s="287">
        <v>5.52</v>
      </c>
      <c r="E13" s="27">
        <f t="shared" si="0"/>
        <v>2090.5797101449275</v>
      </c>
      <c r="F13" s="27">
        <f t="shared" si="1"/>
        <v>16070.471014492754</v>
      </c>
    </row>
    <row r="14" spans="1:6" ht="12.75">
      <c r="A14" s="270" t="s">
        <v>7</v>
      </c>
      <c r="B14" s="27">
        <v>11006</v>
      </c>
      <c r="C14" s="27">
        <v>101467</v>
      </c>
      <c r="D14" s="287">
        <v>2.91755595381</v>
      </c>
      <c r="E14" s="27">
        <f t="shared" si="0"/>
        <v>3772.335535031437</v>
      </c>
      <c r="F14" s="27">
        <f t="shared" si="1"/>
        <v>34778.081931040775</v>
      </c>
    </row>
    <row r="15" spans="1:6" ht="12.75">
      <c r="A15" s="270" t="s">
        <v>12</v>
      </c>
      <c r="B15" s="27">
        <v>10333</v>
      </c>
      <c r="C15" s="27">
        <v>81197</v>
      </c>
      <c r="D15" s="287">
        <v>3.0144702458</v>
      </c>
      <c r="E15" s="27">
        <f t="shared" si="0"/>
        <v>3427.7996322560352</v>
      </c>
      <c r="F15" s="27">
        <f t="shared" si="1"/>
        <v>26935.744385976315</v>
      </c>
    </row>
    <row r="16" spans="1:6" ht="12.75">
      <c r="A16" s="270" t="s">
        <v>186</v>
      </c>
      <c r="B16" s="27">
        <v>10260</v>
      </c>
      <c r="C16" s="27">
        <v>97125</v>
      </c>
      <c r="D16" s="287">
        <v>9.57</v>
      </c>
      <c r="E16" s="27">
        <f t="shared" si="0"/>
        <v>1072.1003134796238</v>
      </c>
      <c r="F16" s="27">
        <f t="shared" si="1"/>
        <v>10148.902821316615</v>
      </c>
    </row>
    <row r="17" spans="1:6" ht="12.75">
      <c r="A17" s="270" t="s">
        <v>91</v>
      </c>
      <c r="B17" s="27">
        <v>8374</v>
      </c>
      <c r="C17" s="27">
        <v>12128</v>
      </c>
      <c r="D17" s="287">
        <v>11.4725585695</v>
      </c>
      <c r="E17" s="27">
        <f t="shared" si="0"/>
        <v>729.9156460410171</v>
      </c>
      <c r="F17" s="27">
        <f t="shared" si="1"/>
        <v>1057.1312341993619</v>
      </c>
    </row>
    <row r="18" spans="1:6" ht="12.75">
      <c r="A18" s="270" t="s">
        <v>125</v>
      </c>
      <c r="B18" s="27">
        <v>17859</v>
      </c>
      <c r="C18" s="27">
        <v>112130</v>
      </c>
      <c r="D18" s="287">
        <v>17.36</v>
      </c>
      <c r="E18" s="27">
        <f t="shared" si="0"/>
        <v>1028.7442396313365</v>
      </c>
      <c r="F18" s="27">
        <f t="shared" si="1"/>
        <v>6459.101382488479</v>
      </c>
    </row>
    <row r="19" spans="1:6" ht="12.75">
      <c r="A19" s="270" t="s">
        <v>16</v>
      </c>
      <c r="B19" s="27">
        <v>13664</v>
      </c>
      <c r="C19" s="27">
        <v>101445</v>
      </c>
      <c r="D19" s="287">
        <v>4.26733613779</v>
      </c>
      <c r="E19" s="27">
        <f t="shared" si="0"/>
        <v>3201.9975832221207</v>
      </c>
      <c r="F19" s="27">
        <f t="shared" si="1"/>
        <v>23772.441805471903</v>
      </c>
    </row>
    <row r="20" spans="1:6" ht="12.75">
      <c r="A20" s="270" t="s">
        <v>59</v>
      </c>
      <c r="B20" s="27">
        <v>16618</v>
      </c>
      <c r="C20" s="27">
        <v>116348</v>
      </c>
      <c r="D20" s="287">
        <v>15.07</v>
      </c>
      <c r="E20" s="27">
        <f t="shared" si="0"/>
        <v>1102.7206370272063</v>
      </c>
      <c r="F20" s="27">
        <f t="shared" si="1"/>
        <v>7720.504313205043</v>
      </c>
    </row>
    <row r="21" spans="1:6" ht="12.75">
      <c r="A21" s="270" t="s">
        <v>163</v>
      </c>
      <c r="B21" s="27">
        <v>19682</v>
      </c>
      <c r="C21" s="27">
        <v>11931</v>
      </c>
      <c r="D21" s="287">
        <v>19.702055504</v>
      </c>
      <c r="E21" s="27">
        <f t="shared" si="0"/>
        <v>998.982060323811</v>
      </c>
      <c r="F21" s="27">
        <f t="shared" si="1"/>
        <v>605.5713322692505</v>
      </c>
    </row>
    <row r="22" spans="1:6" ht="12.75">
      <c r="A22" s="270" t="s">
        <v>128</v>
      </c>
      <c r="B22" s="27">
        <v>8185</v>
      </c>
      <c r="C22" s="27">
        <v>8636</v>
      </c>
      <c r="D22" s="287">
        <v>6.99</v>
      </c>
      <c r="E22" s="27">
        <f t="shared" si="0"/>
        <v>1170.9585121602288</v>
      </c>
      <c r="F22" s="27">
        <f t="shared" si="1"/>
        <v>1235.4792560801145</v>
      </c>
    </row>
    <row r="23" spans="1:6" ht="12.75">
      <c r="A23" s="270" t="s">
        <v>82</v>
      </c>
      <c r="B23" s="27">
        <v>25421</v>
      </c>
      <c r="C23" s="27">
        <v>104359</v>
      </c>
      <c r="D23" s="287">
        <v>8.22633335432</v>
      </c>
      <c r="E23" s="27">
        <f t="shared" si="0"/>
        <v>3090.1981362875777</v>
      </c>
      <c r="F23" s="27">
        <f t="shared" si="1"/>
        <v>12685.96779453347</v>
      </c>
    </row>
    <row r="24" spans="1:6" ht="12.75">
      <c r="A24" s="270" t="s">
        <v>50</v>
      </c>
      <c r="B24" s="27">
        <v>12792</v>
      </c>
      <c r="C24" s="27">
        <v>125998</v>
      </c>
      <c r="D24" s="287">
        <v>12.53</v>
      </c>
      <c r="E24" s="27">
        <f t="shared" si="0"/>
        <v>1020.9098164405427</v>
      </c>
      <c r="F24" s="27">
        <f t="shared" si="1"/>
        <v>10055.706304868316</v>
      </c>
    </row>
    <row r="25" spans="1:6" ht="12.75">
      <c r="A25" s="270" t="s">
        <v>272</v>
      </c>
      <c r="B25" s="27">
        <v>1944</v>
      </c>
      <c r="C25" s="27">
        <v>7530</v>
      </c>
      <c r="D25" s="287">
        <v>8.5499850727</v>
      </c>
      <c r="E25" s="27">
        <f t="shared" si="0"/>
        <v>227.368818011995</v>
      </c>
      <c r="F25" s="27">
        <f t="shared" si="1"/>
        <v>880.7032919909065</v>
      </c>
    </row>
    <row r="26" spans="1:6" ht="12.75">
      <c r="A26" s="270" t="s">
        <v>215</v>
      </c>
      <c r="B26" s="27">
        <v>5307</v>
      </c>
      <c r="C26" s="27">
        <v>7978</v>
      </c>
      <c r="D26" s="287">
        <v>6.92</v>
      </c>
      <c r="E26" s="27">
        <f t="shared" si="0"/>
        <v>766.9075144508671</v>
      </c>
      <c r="F26" s="27">
        <f t="shared" si="1"/>
        <v>1152.8901734104047</v>
      </c>
    </row>
    <row r="27" spans="1:6" ht="12.75">
      <c r="A27" s="270" t="s">
        <v>275</v>
      </c>
      <c r="B27" s="27">
        <v>7953</v>
      </c>
      <c r="C27" s="27">
        <v>58601</v>
      </c>
      <c r="D27" s="287">
        <v>21.5395848229</v>
      </c>
      <c r="E27" s="27">
        <f t="shared" si="0"/>
        <v>369.22717245435007</v>
      </c>
      <c r="F27" s="27">
        <f t="shared" si="1"/>
        <v>2720.618827234675</v>
      </c>
    </row>
    <row r="28" spans="1:6" ht="12.75">
      <c r="A28" s="270" t="s">
        <v>218</v>
      </c>
      <c r="B28" s="27">
        <v>2851</v>
      </c>
      <c r="C28" s="27">
        <v>8083</v>
      </c>
      <c r="D28" s="287">
        <v>8.22</v>
      </c>
      <c r="E28" s="27">
        <f t="shared" si="0"/>
        <v>346.8369829683698</v>
      </c>
      <c r="F28" s="27">
        <f t="shared" si="1"/>
        <v>983.3333333333333</v>
      </c>
    </row>
    <row r="29" spans="1:6" ht="12.75">
      <c r="A29" s="270" t="s">
        <v>277</v>
      </c>
      <c r="B29" s="27">
        <v>8353</v>
      </c>
      <c r="C29" s="27">
        <v>6150</v>
      </c>
      <c r="D29" s="287">
        <v>9.29201883855</v>
      </c>
      <c r="E29" s="27">
        <f t="shared" si="0"/>
        <v>898.9435068023892</v>
      </c>
      <c r="F29" s="27">
        <f t="shared" si="1"/>
        <v>661.8583223793479</v>
      </c>
    </row>
    <row r="30" spans="1:6" ht="12.75">
      <c r="A30" s="270" t="s">
        <v>221</v>
      </c>
      <c r="B30" s="27">
        <v>3368</v>
      </c>
      <c r="C30" s="27">
        <v>6519</v>
      </c>
      <c r="D30" s="287">
        <v>16.37</v>
      </c>
      <c r="E30" s="27">
        <f t="shared" si="0"/>
        <v>205.742211362248</v>
      </c>
      <c r="F30" s="27">
        <f t="shared" si="1"/>
        <v>398.22846670739153</v>
      </c>
    </row>
    <row r="31" spans="1:6" ht="12.75">
      <c r="A31" s="270" t="s">
        <v>224</v>
      </c>
      <c r="B31" s="27">
        <v>6718</v>
      </c>
      <c r="C31" s="27">
        <v>5431</v>
      </c>
      <c r="D31" s="287">
        <v>10.6536259389</v>
      </c>
      <c r="E31" s="27">
        <f t="shared" si="0"/>
        <v>630.5834312682506</v>
      </c>
      <c r="F31" s="27">
        <f t="shared" si="1"/>
        <v>509.7794902080782</v>
      </c>
    </row>
    <row r="32" spans="1:6" ht="12.75">
      <c r="A32" s="270" t="s">
        <v>167</v>
      </c>
      <c r="B32" s="27">
        <v>7290</v>
      </c>
      <c r="C32" s="27">
        <v>4685</v>
      </c>
      <c r="D32" s="287">
        <v>7.93</v>
      </c>
      <c r="E32" s="27">
        <f t="shared" si="0"/>
        <v>919.2938209331652</v>
      </c>
      <c r="F32" s="27">
        <f t="shared" si="1"/>
        <v>590.7944514501892</v>
      </c>
    </row>
    <row r="33" spans="1:6" ht="12.75">
      <c r="A33" s="270" t="s">
        <v>188</v>
      </c>
      <c r="B33" s="27">
        <v>12066</v>
      </c>
      <c r="C33" s="27">
        <v>34241</v>
      </c>
      <c r="D33" s="287">
        <v>10.7808466446</v>
      </c>
      <c r="E33" s="27">
        <f t="shared" si="0"/>
        <v>1119.207089922174</v>
      </c>
      <c r="F33" s="27">
        <f t="shared" si="1"/>
        <v>3176.095637827379</v>
      </c>
    </row>
    <row r="34" spans="1:6" ht="12.75">
      <c r="A34" s="270" t="s">
        <v>170</v>
      </c>
      <c r="B34" s="27">
        <v>4849</v>
      </c>
      <c r="C34" s="27">
        <v>5270</v>
      </c>
      <c r="D34" s="287">
        <v>7.62</v>
      </c>
      <c r="E34" s="27">
        <f t="shared" si="0"/>
        <v>636.3517060367454</v>
      </c>
      <c r="F34" s="27">
        <f t="shared" si="1"/>
        <v>691.6010498687664</v>
      </c>
    </row>
    <row r="35" spans="1:6" ht="12.75">
      <c r="A35" s="270" t="s">
        <v>173</v>
      </c>
      <c r="B35" s="27">
        <v>13356</v>
      </c>
      <c r="C35" s="27">
        <v>10316</v>
      </c>
      <c r="D35" s="287">
        <v>16.6057381866</v>
      </c>
      <c r="E35" s="27">
        <f t="shared" si="0"/>
        <v>804.3002876425948</v>
      </c>
      <c r="F35" s="27">
        <f t="shared" si="1"/>
        <v>621.2310397814471</v>
      </c>
    </row>
    <row r="36" spans="1:6" ht="12.75">
      <c r="A36" s="270" t="s">
        <v>227</v>
      </c>
      <c r="B36" s="27">
        <v>6990</v>
      </c>
      <c r="C36" s="27">
        <v>4470</v>
      </c>
      <c r="D36" s="287">
        <v>9.33</v>
      </c>
      <c r="E36" s="27">
        <f t="shared" si="0"/>
        <v>749.1961414790997</v>
      </c>
      <c r="F36" s="27">
        <f t="shared" si="1"/>
        <v>479.0996784565916</v>
      </c>
    </row>
    <row r="37" spans="1:6" ht="12.75">
      <c r="A37" s="270" t="s">
        <v>229</v>
      </c>
      <c r="B37" s="27">
        <v>8207</v>
      </c>
      <c r="C37" s="27">
        <v>7022</v>
      </c>
      <c r="D37" s="287">
        <v>14.0208532587</v>
      </c>
      <c r="E37" s="27">
        <f t="shared" si="0"/>
        <v>585.3424073821984</v>
      </c>
      <c r="F37" s="27">
        <f t="shared" si="1"/>
        <v>500.82543982427165</v>
      </c>
    </row>
    <row r="38" spans="1:6" ht="12.75">
      <c r="A38" s="270" t="s">
        <v>176</v>
      </c>
      <c r="B38" s="27">
        <v>13779</v>
      </c>
      <c r="C38" s="27">
        <v>114927</v>
      </c>
      <c r="D38" s="287">
        <v>16.07</v>
      </c>
      <c r="E38" s="27">
        <f t="shared" si="0"/>
        <v>857.4362165525824</v>
      </c>
      <c r="F38" s="27">
        <f t="shared" si="1"/>
        <v>7151.64903546982</v>
      </c>
    </row>
    <row r="39" spans="1:6" ht="12.75">
      <c r="A39" s="270" t="s">
        <v>96</v>
      </c>
      <c r="B39" s="27">
        <v>9906</v>
      </c>
      <c r="C39" s="27">
        <v>14397</v>
      </c>
      <c r="D39" s="287">
        <v>13.3200053871</v>
      </c>
      <c r="E39" s="27">
        <f t="shared" si="0"/>
        <v>743.6933929166158</v>
      </c>
      <c r="F39" s="27">
        <f t="shared" si="1"/>
        <v>1080.855418718001</v>
      </c>
    </row>
    <row r="40" spans="1:6" ht="12.75">
      <c r="A40" s="270" t="s">
        <v>131</v>
      </c>
      <c r="B40" s="27">
        <v>6340</v>
      </c>
      <c r="C40" s="27">
        <v>3211</v>
      </c>
      <c r="D40" s="287">
        <v>5.53</v>
      </c>
      <c r="E40" s="27">
        <f t="shared" si="0"/>
        <v>1146.4737793851718</v>
      </c>
      <c r="F40" s="27">
        <f t="shared" si="1"/>
        <v>580.6509945750452</v>
      </c>
    </row>
    <row r="41" spans="1:6" ht="12.75">
      <c r="A41" s="270" t="s">
        <v>100</v>
      </c>
      <c r="B41" s="27">
        <v>8935</v>
      </c>
      <c r="C41" s="27">
        <v>124370</v>
      </c>
      <c r="D41" s="287">
        <v>22.1068448897</v>
      </c>
      <c r="E41" s="27">
        <f t="shared" si="0"/>
        <v>404.1734605087398</v>
      </c>
      <c r="F41" s="27">
        <f t="shared" si="1"/>
        <v>5625.859349017568</v>
      </c>
    </row>
    <row r="42" spans="1:6" ht="12.75">
      <c r="A42" s="270" t="s">
        <v>279</v>
      </c>
      <c r="B42" s="27">
        <v>3896</v>
      </c>
      <c r="C42" s="27">
        <v>4467</v>
      </c>
      <c r="D42" s="287">
        <v>6.55</v>
      </c>
      <c r="E42" s="27">
        <f t="shared" si="0"/>
        <v>594.8091603053435</v>
      </c>
      <c r="F42" s="27">
        <f t="shared" si="1"/>
        <v>681.9847328244275</v>
      </c>
    </row>
    <row r="43" spans="1:6" ht="12.75">
      <c r="A43" s="270" t="s">
        <v>101</v>
      </c>
      <c r="B43" s="27">
        <v>13114</v>
      </c>
      <c r="C43" s="27">
        <v>25724</v>
      </c>
      <c r="D43" s="287">
        <v>24.7397706787</v>
      </c>
      <c r="E43" s="27">
        <f t="shared" si="0"/>
        <v>530.0776700929832</v>
      </c>
      <c r="F43" s="27">
        <f t="shared" si="1"/>
        <v>1039.7832839310586</v>
      </c>
    </row>
    <row r="44" spans="1:6" ht="12.75">
      <c r="A44" s="270" t="s">
        <v>178</v>
      </c>
      <c r="B44" s="27">
        <v>7231</v>
      </c>
      <c r="C44" s="27">
        <v>7210</v>
      </c>
      <c r="D44" s="287">
        <v>7.19</v>
      </c>
      <c r="E44" s="27">
        <f t="shared" si="0"/>
        <v>1005.702364394993</v>
      </c>
      <c r="F44" s="27">
        <f t="shared" si="1"/>
        <v>1002.7816411682892</v>
      </c>
    </row>
    <row r="45" spans="1:6" ht="12.75">
      <c r="A45" s="270" t="s">
        <v>261</v>
      </c>
      <c r="B45" s="27">
        <v>8094</v>
      </c>
      <c r="C45" s="27">
        <v>29332</v>
      </c>
      <c r="D45" s="287">
        <v>6.7382818808</v>
      </c>
      <c r="E45" s="27">
        <f t="shared" si="0"/>
        <v>1201.1964092898772</v>
      </c>
      <c r="F45" s="27">
        <f t="shared" si="1"/>
        <v>4353.03843307273</v>
      </c>
    </row>
    <row r="46" spans="1:6" ht="12.75">
      <c r="A46" s="270" t="s">
        <v>283</v>
      </c>
      <c r="B46" s="27">
        <v>7264</v>
      </c>
      <c r="C46" s="27">
        <v>28176</v>
      </c>
      <c r="D46" s="287">
        <v>10.07</v>
      </c>
      <c r="E46" s="27">
        <f t="shared" si="0"/>
        <v>721.3505461767627</v>
      </c>
      <c r="F46" s="27">
        <f t="shared" si="1"/>
        <v>2798.0139026812312</v>
      </c>
    </row>
    <row r="47" spans="1:6" ht="12.75">
      <c r="A47" s="270" t="s">
        <v>232</v>
      </c>
      <c r="B47" s="27">
        <v>11599</v>
      </c>
      <c r="C47" s="27">
        <v>24962</v>
      </c>
      <c r="D47" s="287">
        <v>16.6248667891</v>
      </c>
      <c r="E47" s="27">
        <f t="shared" si="0"/>
        <v>697.6898008954164</v>
      </c>
      <c r="F47" s="27">
        <f t="shared" si="1"/>
        <v>1501.4857151436663</v>
      </c>
    </row>
    <row r="48" spans="1:6" ht="12.75">
      <c r="A48" s="270" t="s">
        <v>209</v>
      </c>
      <c r="B48" s="27">
        <v>5425</v>
      </c>
      <c r="C48" s="27">
        <v>62960</v>
      </c>
      <c r="D48" s="287">
        <v>5.33</v>
      </c>
      <c r="E48" s="27">
        <f t="shared" si="0"/>
        <v>1017.8236397748593</v>
      </c>
      <c r="F48" s="27">
        <f t="shared" si="1"/>
        <v>11812.382739212007</v>
      </c>
    </row>
    <row r="49" spans="1:6" ht="12.75">
      <c r="A49" s="270" t="s">
        <v>104</v>
      </c>
      <c r="B49" s="27">
        <v>13024</v>
      </c>
      <c r="C49" s="27">
        <v>106535</v>
      </c>
      <c r="D49" s="287">
        <v>14.6659090456</v>
      </c>
      <c r="E49" s="27">
        <f t="shared" si="0"/>
        <v>888.0458728814633</v>
      </c>
      <c r="F49" s="27">
        <f t="shared" si="1"/>
        <v>7264.125235521092</v>
      </c>
    </row>
    <row r="50" spans="1:6" ht="12.75">
      <c r="A50" s="270" t="s">
        <v>285</v>
      </c>
      <c r="B50" s="27">
        <v>8973</v>
      </c>
      <c r="C50" s="27">
        <v>12234</v>
      </c>
      <c r="D50" s="287">
        <v>9.13</v>
      </c>
      <c r="E50" s="27">
        <f t="shared" si="0"/>
        <v>982.8039430449068</v>
      </c>
      <c r="F50" s="27">
        <f t="shared" si="1"/>
        <v>1339.9780941949616</v>
      </c>
    </row>
    <row r="51" spans="1:6" ht="12.75">
      <c r="A51" s="270" t="s">
        <v>236</v>
      </c>
      <c r="B51" s="27">
        <v>7852</v>
      </c>
      <c r="C51" s="27">
        <v>34913</v>
      </c>
      <c r="D51" s="287">
        <v>7.68312533813</v>
      </c>
      <c r="E51" s="27">
        <f t="shared" si="0"/>
        <v>1021.9799436346436</v>
      </c>
      <c r="F51" s="27">
        <f t="shared" si="1"/>
        <v>4544.114336744309</v>
      </c>
    </row>
    <row r="52" spans="1:6" ht="12.75">
      <c r="A52" s="270" t="s">
        <v>288</v>
      </c>
      <c r="B52" s="27">
        <v>11692</v>
      </c>
      <c r="C52" s="27">
        <v>12031</v>
      </c>
      <c r="D52" s="287">
        <v>15.01</v>
      </c>
      <c r="E52" s="27">
        <f t="shared" si="0"/>
        <v>778.9473684210526</v>
      </c>
      <c r="F52" s="27">
        <f t="shared" si="1"/>
        <v>801.5323117921386</v>
      </c>
    </row>
    <row r="53" spans="1:6" ht="12.75">
      <c r="A53" s="270" t="s">
        <v>34</v>
      </c>
      <c r="B53" s="27">
        <v>15039</v>
      </c>
      <c r="C53" s="27">
        <v>79972</v>
      </c>
      <c r="D53" s="287">
        <v>4.61355088123</v>
      </c>
      <c r="E53" s="27">
        <f t="shared" si="0"/>
        <v>3259.7451262942423</v>
      </c>
      <c r="F53" s="27">
        <f t="shared" si="1"/>
        <v>17334.15368309084</v>
      </c>
    </row>
    <row r="54" spans="1:6" ht="12.75">
      <c r="A54" s="270" t="s">
        <v>238</v>
      </c>
      <c r="B54" s="27">
        <v>5018</v>
      </c>
      <c r="C54" s="27">
        <v>16738</v>
      </c>
      <c r="D54" s="287">
        <v>7.84</v>
      </c>
      <c r="E54" s="27">
        <f t="shared" si="0"/>
        <v>640.0510204081633</v>
      </c>
      <c r="F54" s="27">
        <f t="shared" si="1"/>
        <v>2134.9489795918366</v>
      </c>
    </row>
    <row r="55" spans="1:6" ht="12.75">
      <c r="A55" s="270" t="s">
        <v>134</v>
      </c>
      <c r="B55" s="27">
        <v>10484</v>
      </c>
      <c r="C55" s="27">
        <v>33000</v>
      </c>
      <c r="D55" s="287">
        <v>6.48800943217</v>
      </c>
      <c r="E55" s="27">
        <f t="shared" si="0"/>
        <v>1615.9039393525493</v>
      </c>
      <c r="F55" s="27">
        <f t="shared" si="1"/>
        <v>5086.305799182957</v>
      </c>
    </row>
    <row r="56" spans="1:6" ht="12.75">
      <c r="A56" s="270" t="s">
        <v>291</v>
      </c>
      <c r="B56" s="27">
        <v>10570</v>
      </c>
      <c r="C56" s="27">
        <v>10997</v>
      </c>
      <c r="D56" s="287">
        <v>12.72</v>
      </c>
      <c r="E56" s="27">
        <f t="shared" si="0"/>
        <v>830.9748427672955</v>
      </c>
      <c r="F56" s="27">
        <f t="shared" si="1"/>
        <v>864.5440251572327</v>
      </c>
    </row>
    <row r="57" spans="1:6" ht="12.75">
      <c r="A57" s="270" t="s">
        <v>138</v>
      </c>
      <c r="B57" s="27">
        <v>9856</v>
      </c>
      <c r="C57" s="27">
        <v>34255</v>
      </c>
      <c r="D57" s="287">
        <v>8.04752351255</v>
      </c>
      <c r="E57" s="27">
        <f t="shared" si="0"/>
        <v>1224.7245981486983</v>
      </c>
      <c r="F57" s="27">
        <f t="shared" si="1"/>
        <v>4256.5889924496405</v>
      </c>
    </row>
    <row r="58" spans="1:6" ht="12.75">
      <c r="A58" s="270" t="s">
        <v>241</v>
      </c>
      <c r="B58" s="27">
        <v>4625</v>
      </c>
      <c r="C58" s="27">
        <v>4724</v>
      </c>
      <c r="D58" s="287">
        <v>8.61013391487</v>
      </c>
      <c r="E58" s="27">
        <f t="shared" si="0"/>
        <v>537.1577313115264</v>
      </c>
      <c r="F58" s="27">
        <f t="shared" si="1"/>
        <v>548.6558103168975</v>
      </c>
    </row>
    <row r="59" spans="1:6" ht="12.75">
      <c r="A59" s="270" t="s">
        <v>72</v>
      </c>
      <c r="B59" s="27">
        <v>20463</v>
      </c>
      <c r="C59" s="27">
        <v>103131</v>
      </c>
      <c r="D59" s="287">
        <v>5.69435553076</v>
      </c>
      <c r="E59" s="27">
        <f t="shared" si="0"/>
        <v>3593.558549244447</v>
      </c>
      <c r="F59" s="27">
        <f t="shared" si="1"/>
        <v>18111.092544696723</v>
      </c>
    </row>
    <row r="60" spans="1:6" ht="12.75">
      <c r="A60" s="270" t="s">
        <v>243</v>
      </c>
      <c r="B60" s="27">
        <v>4346</v>
      </c>
      <c r="C60" s="27">
        <v>3344</v>
      </c>
      <c r="D60" s="287">
        <v>6.09255836459</v>
      </c>
      <c r="E60" s="27">
        <f t="shared" si="0"/>
        <v>713.3292354257923</v>
      </c>
      <c r="F60" s="27">
        <f t="shared" si="1"/>
        <v>548.8663053989529</v>
      </c>
    </row>
    <row r="61" spans="1:6" ht="12.75">
      <c r="A61" s="270" t="s">
        <v>75</v>
      </c>
      <c r="B61" s="27">
        <v>16444</v>
      </c>
      <c r="C61" s="27">
        <v>98164</v>
      </c>
      <c r="D61" s="287">
        <v>4.93229329667</v>
      </c>
      <c r="E61" s="27">
        <f t="shared" si="0"/>
        <v>3333.9460999008393</v>
      </c>
      <c r="F61" s="27">
        <f t="shared" si="1"/>
        <v>19902.303876834467</v>
      </c>
    </row>
    <row r="62" spans="1:6" ht="12.75">
      <c r="A62" s="270" t="s">
        <v>184</v>
      </c>
      <c r="B62" s="27">
        <v>6430</v>
      </c>
      <c r="C62" s="27">
        <v>5352</v>
      </c>
      <c r="D62" s="287">
        <v>10.7372420952</v>
      </c>
      <c r="E62" s="27">
        <f t="shared" si="0"/>
        <v>598.8502394739224</v>
      </c>
      <c r="F62" s="27">
        <f t="shared" si="1"/>
        <v>498.4520189213737</v>
      </c>
    </row>
    <row r="63" spans="1:6" ht="12.75">
      <c r="A63" s="270" t="s">
        <v>62</v>
      </c>
      <c r="B63" s="27">
        <v>17532</v>
      </c>
      <c r="C63" s="27">
        <v>104158</v>
      </c>
      <c r="D63" s="287">
        <v>9.41468207458</v>
      </c>
      <c r="E63" s="27">
        <f t="shared" si="0"/>
        <v>1862.197773766261</v>
      </c>
      <c r="F63" s="27">
        <f t="shared" si="1"/>
        <v>11063.358186170786</v>
      </c>
    </row>
    <row r="64" spans="1:6" ht="12.75">
      <c r="A64" s="270" t="s">
        <v>246</v>
      </c>
      <c r="B64" s="27">
        <v>1535</v>
      </c>
      <c r="C64" s="27">
        <v>19672</v>
      </c>
      <c r="D64" s="287">
        <v>9.17419998728</v>
      </c>
      <c r="E64" s="27">
        <f t="shared" si="0"/>
        <v>167.31704149988803</v>
      </c>
      <c r="F64" s="27">
        <f t="shared" si="1"/>
        <v>2144.2741631177832</v>
      </c>
    </row>
    <row r="65" spans="1:6" ht="12.75">
      <c r="A65" s="270" t="s">
        <v>107</v>
      </c>
      <c r="B65" s="27">
        <v>8583</v>
      </c>
      <c r="C65" s="27">
        <v>10715</v>
      </c>
      <c r="D65" s="287">
        <v>15.8398815752</v>
      </c>
      <c r="E65" s="27">
        <f t="shared" si="0"/>
        <v>541.8601117219292</v>
      </c>
      <c r="F65" s="27">
        <f t="shared" si="1"/>
        <v>676.4570776069523</v>
      </c>
    </row>
    <row r="66" spans="1:6" ht="12.75">
      <c r="A66" s="270" t="s">
        <v>192</v>
      </c>
      <c r="B66" s="27">
        <v>9992</v>
      </c>
      <c r="C66" s="27">
        <v>9087</v>
      </c>
      <c r="D66" s="287">
        <v>9.19</v>
      </c>
      <c r="E66" s="27">
        <f t="shared" si="0"/>
        <v>1087.2687704026116</v>
      </c>
      <c r="F66" s="27">
        <f t="shared" si="1"/>
        <v>988.792165397171</v>
      </c>
    </row>
    <row r="67" spans="1:6" ht="12.75">
      <c r="A67" s="270" t="s">
        <v>38</v>
      </c>
      <c r="B67" s="27">
        <v>34728</v>
      </c>
      <c r="C67" s="27">
        <v>41981</v>
      </c>
      <c r="D67" s="287">
        <v>13.3982253316</v>
      </c>
      <c r="E67" s="27">
        <f aca="true" t="shared" si="2" ref="E67:E116">B67/D67</f>
        <v>2591.985068208494</v>
      </c>
      <c r="F67" s="27">
        <f aca="true" t="shared" si="3" ref="F67:F116">C67/D67</f>
        <v>3133.3254189259615</v>
      </c>
    </row>
    <row r="68" spans="1:6" ht="12.75">
      <c r="A68" s="270" t="s">
        <v>293</v>
      </c>
      <c r="B68" s="27">
        <v>4371</v>
      </c>
      <c r="C68" s="27">
        <v>6210</v>
      </c>
      <c r="D68" s="287">
        <v>30.195528032</v>
      </c>
      <c r="E68" s="27">
        <f t="shared" si="2"/>
        <v>144.7565346553235</v>
      </c>
      <c r="F68" s="27">
        <f t="shared" si="3"/>
        <v>205.65959281847609</v>
      </c>
    </row>
    <row r="69" spans="1:6" ht="12.75">
      <c r="A69" s="270" t="s">
        <v>295</v>
      </c>
      <c r="B69" s="27">
        <v>11292</v>
      </c>
      <c r="C69" s="27">
        <v>14185</v>
      </c>
      <c r="D69" s="287">
        <v>16.1072865569</v>
      </c>
      <c r="E69" s="27">
        <f t="shared" si="2"/>
        <v>701.0491779673939</v>
      </c>
      <c r="F69" s="27">
        <f t="shared" si="3"/>
        <v>880.6573316921257</v>
      </c>
    </row>
    <row r="70" spans="1:6" ht="12.75">
      <c r="A70" s="270" t="s">
        <v>630</v>
      </c>
      <c r="B70" s="27">
        <v>3100</v>
      </c>
      <c r="C70" s="27">
        <v>4857</v>
      </c>
      <c r="E70" s="27" t="e">
        <f t="shared" si="2"/>
        <v>#DIV/0!</v>
      </c>
      <c r="F70" s="27" t="e">
        <f t="shared" si="3"/>
        <v>#DIV/0!</v>
      </c>
    </row>
    <row r="71" spans="1:6" ht="12.75">
      <c r="A71" s="270" t="s">
        <v>110</v>
      </c>
      <c r="B71" s="27">
        <v>4638</v>
      </c>
      <c r="C71" s="27">
        <v>16055</v>
      </c>
      <c r="D71" s="287">
        <v>10.8374636996</v>
      </c>
      <c r="E71" s="27">
        <f t="shared" si="2"/>
        <v>427.9599109680232</v>
      </c>
      <c r="F71" s="27">
        <f t="shared" si="3"/>
        <v>1481.4351812401062</v>
      </c>
    </row>
    <row r="72" spans="1:6" ht="12.75">
      <c r="A72" s="270" t="s">
        <v>113</v>
      </c>
      <c r="B72" s="27">
        <v>3822</v>
      </c>
      <c r="C72" s="27">
        <v>10654</v>
      </c>
      <c r="D72" s="287">
        <v>13.8475702616</v>
      </c>
      <c r="E72" s="27">
        <f t="shared" si="2"/>
        <v>276.00509893050304</v>
      </c>
      <c r="F72" s="27">
        <f t="shared" si="3"/>
        <v>769.3768508648822</v>
      </c>
    </row>
    <row r="73" spans="1:6" ht="12.75">
      <c r="A73" s="270" t="s">
        <v>116</v>
      </c>
      <c r="B73" s="27">
        <v>10075</v>
      </c>
      <c r="C73" s="27">
        <v>105900</v>
      </c>
      <c r="D73" s="287">
        <v>15.3234761873</v>
      </c>
      <c r="E73" s="27">
        <f t="shared" si="2"/>
        <v>657.4878883128422</v>
      </c>
      <c r="F73" s="27">
        <f t="shared" si="3"/>
        <v>6910.964503457071</v>
      </c>
    </row>
    <row r="74" spans="1:6" ht="12.75">
      <c r="A74" s="270" t="s">
        <v>180</v>
      </c>
      <c r="B74" s="27">
        <v>5924</v>
      </c>
      <c r="C74" s="27">
        <v>14620</v>
      </c>
      <c r="D74" s="287">
        <v>12.8078982612</v>
      </c>
      <c r="E74" s="27">
        <f t="shared" si="2"/>
        <v>462.52709688880424</v>
      </c>
      <c r="F74" s="27">
        <f t="shared" si="3"/>
        <v>1141.48314593422</v>
      </c>
    </row>
    <row r="75" spans="1:6" ht="12.75">
      <c r="A75" s="270" t="s">
        <v>85</v>
      </c>
      <c r="B75" s="27">
        <v>28654</v>
      </c>
      <c r="C75" s="27">
        <v>106795</v>
      </c>
      <c r="D75" s="287">
        <v>12.553250345</v>
      </c>
      <c r="E75" s="27">
        <f t="shared" si="2"/>
        <v>2282.5960777093064</v>
      </c>
      <c r="F75" s="27">
        <f t="shared" si="3"/>
        <v>8507.358418334801</v>
      </c>
    </row>
    <row r="76" spans="1:6" ht="12.75">
      <c r="A76" s="270" t="s">
        <v>248</v>
      </c>
      <c r="B76" s="27">
        <v>4141</v>
      </c>
      <c r="C76" s="27">
        <v>2314</v>
      </c>
      <c r="D76" s="287">
        <v>4.81334093763</v>
      </c>
      <c r="E76" s="27">
        <f t="shared" si="2"/>
        <v>860.317200393237</v>
      </c>
      <c r="F76" s="27">
        <f t="shared" si="3"/>
        <v>480.747162934062</v>
      </c>
    </row>
    <row r="77" spans="1:6" ht="12.75">
      <c r="A77" s="270" t="s">
        <v>250</v>
      </c>
      <c r="B77" s="27">
        <v>4993</v>
      </c>
      <c r="C77" s="27">
        <v>2693</v>
      </c>
      <c r="D77" s="287">
        <v>5.44854576557</v>
      </c>
      <c r="E77" s="27">
        <f t="shared" si="2"/>
        <v>916.3913115223062</v>
      </c>
      <c r="F77" s="27">
        <f t="shared" si="3"/>
        <v>494.2603248406911</v>
      </c>
    </row>
    <row r="78" spans="1:6" ht="12.75">
      <c r="A78" s="270" t="s">
        <v>253</v>
      </c>
      <c r="B78" s="27">
        <v>15733</v>
      </c>
      <c r="C78" s="27">
        <v>107682</v>
      </c>
      <c r="D78" s="287">
        <v>17.3756746333</v>
      </c>
      <c r="E78" s="27">
        <f t="shared" si="2"/>
        <v>905.4612457952072</v>
      </c>
      <c r="F78" s="27">
        <f t="shared" si="3"/>
        <v>6197.284552832868</v>
      </c>
    </row>
    <row r="79" spans="1:6" ht="12.75">
      <c r="A79" s="270" t="s">
        <v>322</v>
      </c>
      <c r="B79" s="27">
        <v>7425</v>
      </c>
      <c r="C79" s="27">
        <v>4459</v>
      </c>
      <c r="E79" s="27" t="e">
        <f t="shared" si="2"/>
        <v>#DIV/0!</v>
      </c>
      <c r="F79" s="27" t="e">
        <f t="shared" si="3"/>
        <v>#DIV/0!</v>
      </c>
    </row>
    <row r="80" spans="1:6" ht="12.75">
      <c r="A80" s="270" t="s">
        <v>20</v>
      </c>
      <c r="B80" s="27">
        <v>15851</v>
      </c>
      <c r="C80" s="27">
        <v>134073</v>
      </c>
      <c r="D80" s="287">
        <v>6.35998066447</v>
      </c>
      <c r="E80" s="27">
        <f t="shared" si="2"/>
        <v>2492.303174528742</v>
      </c>
      <c r="F80" s="27">
        <f t="shared" si="3"/>
        <v>21080.724466506344</v>
      </c>
    </row>
    <row r="81" spans="1:6" ht="12.75">
      <c r="A81" s="270" t="s">
        <v>195</v>
      </c>
      <c r="B81" s="27">
        <v>5900</v>
      </c>
      <c r="C81" s="27">
        <v>3087</v>
      </c>
      <c r="D81" s="287">
        <v>5.44591442028</v>
      </c>
      <c r="E81" s="27">
        <f t="shared" si="2"/>
        <v>1083.3809613366368</v>
      </c>
      <c r="F81" s="27">
        <f t="shared" si="3"/>
        <v>566.8469538383387</v>
      </c>
    </row>
    <row r="82" spans="1:6" ht="12.75">
      <c r="A82" s="270" t="s">
        <v>23</v>
      </c>
      <c r="B82" s="27">
        <v>21703</v>
      </c>
      <c r="C82" s="27">
        <v>86313</v>
      </c>
      <c r="D82" s="287">
        <v>7.65022839863</v>
      </c>
      <c r="E82" s="27">
        <f t="shared" si="2"/>
        <v>2836.9087652189005</v>
      </c>
      <c r="F82" s="27">
        <f t="shared" si="3"/>
        <v>11282.40825011929</v>
      </c>
    </row>
    <row r="83" spans="1:6" ht="12.75">
      <c r="A83" s="270" t="s">
        <v>199</v>
      </c>
      <c r="B83" s="27">
        <v>16966</v>
      </c>
      <c r="C83" s="27">
        <v>30491</v>
      </c>
      <c r="D83" s="287">
        <v>8.78483378857</v>
      </c>
      <c r="E83" s="27">
        <f t="shared" si="2"/>
        <v>1931.282982504981</v>
      </c>
      <c r="F83" s="27">
        <f t="shared" si="3"/>
        <v>3470.8681727902494</v>
      </c>
    </row>
    <row r="84" spans="1:6" ht="12.75">
      <c r="A84" s="270" t="s">
        <v>182</v>
      </c>
      <c r="B84" s="27">
        <v>5694</v>
      </c>
      <c r="C84" s="27">
        <v>46927</v>
      </c>
      <c r="D84" s="287">
        <v>8.60248366184</v>
      </c>
      <c r="E84" s="27">
        <f t="shared" si="2"/>
        <v>661.9018673942011</v>
      </c>
      <c r="F84" s="27">
        <f t="shared" si="3"/>
        <v>5455.052499333979</v>
      </c>
    </row>
    <row r="85" spans="1:6" ht="12.75">
      <c r="A85" s="270" t="s">
        <v>53</v>
      </c>
      <c r="B85" s="27">
        <v>12971</v>
      </c>
      <c r="C85" s="27">
        <v>87066</v>
      </c>
      <c r="D85" s="287">
        <v>4.73686437617</v>
      </c>
      <c r="E85" s="27">
        <f t="shared" si="2"/>
        <v>2738.3093476887184</v>
      </c>
      <c r="F85" s="27">
        <f t="shared" si="3"/>
        <v>18380.51358151769</v>
      </c>
    </row>
    <row r="86" spans="1:6" ht="12.75">
      <c r="A86" s="270" t="s">
        <v>65</v>
      </c>
      <c r="B86" s="27">
        <v>25172</v>
      </c>
      <c r="C86" s="27">
        <v>101007</v>
      </c>
      <c r="D86" s="287">
        <v>12.9513504528</v>
      </c>
      <c r="E86" s="27">
        <f t="shared" si="2"/>
        <v>1943.5811031241126</v>
      </c>
      <c r="F86" s="27">
        <f t="shared" si="3"/>
        <v>7798.95504859595</v>
      </c>
    </row>
    <row r="87" spans="1:6" ht="12.75">
      <c r="A87" s="270" t="s">
        <v>140</v>
      </c>
      <c r="B87" s="27">
        <v>11421</v>
      </c>
      <c r="C87" s="27">
        <v>9997</v>
      </c>
      <c r="D87" s="287">
        <v>9.61</v>
      </c>
      <c r="E87" s="27">
        <f t="shared" si="2"/>
        <v>1188.4495317377732</v>
      </c>
      <c r="F87" s="27">
        <f t="shared" si="3"/>
        <v>1040.270551508845</v>
      </c>
    </row>
    <row r="88" spans="1:6" ht="12.75">
      <c r="A88" s="270" t="s">
        <v>255</v>
      </c>
      <c r="B88" s="27">
        <v>18982</v>
      </c>
      <c r="C88" s="27">
        <v>79178</v>
      </c>
      <c r="D88" s="287">
        <v>10.2957276741</v>
      </c>
      <c r="E88" s="27">
        <f t="shared" si="2"/>
        <v>1843.6773583037984</v>
      </c>
      <c r="F88" s="27">
        <f t="shared" si="3"/>
        <v>7690.374348107584</v>
      </c>
    </row>
    <row r="89" spans="1:6" ht="12.75">
      <c r="A89" s="270" t="s">
        <v>297</v>
      </c>
      <c r="B89" s="27">
        <v>2295</v>
      </c>
      <c r="C89" s="27">
        <v>7797</v>
      </c>
      <c r="D89" s="287">
        <v>21.8493595596</v>
      </c>
      <c r="E89" s="27">
        <f t="shared" si="2"/>
        <v>105.03740367033508</v>
      </c>
      <c r="F89" s="27">
        <f t="shared" si="3"/>
        <v>356.85256488784427</v>
      </c>
    </row>
    <row r="90" spans="1:6" ht="12.75">
      <c r="A90" s="270" t="s">
        <v>300</v>
      </c>
      <c r="B90" s="27">
        <v>4672</v>
      </c>
      <c r="C90" s="27">
        <v>21972</v>
      </c>
      <c r="D90" s="287">
        <v>10.8169893019</v>
      </c>
      <c r="E90" s="27">
        <f t="shared" si="2"/>
        <v>431.91315712768295</v>
      </c>
      <c r="F90" s="27">
        <f t="shared" si="3"/>
        <v>2031.2491199506528</v>
      </c>
    </row>
    <row r="91" spans="1:6" ht="12.75">
      <c r="A91" s="270" t="s">
        <v>302</v>
      </c>
      <c r="B91" s="27">
        <v>4843</v>
      </c>
      <c r="C91" s="27">
        <v>8191</v>
      </c>
      <c r="D91" s="287">
        <v>9.10914227155</v>
      </c>
      <c r="E91" s="27">
        <f t="shared" si="2"/>
        <v>531.6636688314586</v>
      </c>
      <c r="F91" s="27">
        <f t="shared" si="3"/>
        <v>899.206506586512</v>
      </c>
    </row>
    <row r="92" spans="1:6" ht="12.75">
      <c r="A92" s="270" t="s">
        <v>304</v>
      </c>
      <c r="B92" s="27">
        <v>6369</v>
      </c>
      <c r="C92" s="27">
        <v>29785</v>
      </c>
      <c r="D92" s="287">
        <v>11.4479592092</v>
      </c>
      <c r="E92" s="27">
        <f t="shared" si="2"/>
        <v>556.3437014067658</v>
      </c>
      <c r="F92" s="27">
        <f t="shared" si="3"/>
        <v>2601.773770827527</v>
      </c>
    </row>
    <row r="93" spans="1:6" ht="12.75">
      <c r="A93" s="270" t="s">
        <v>306</v>
      </c>
      <c r="B93" s="27">
        <v>4516</v>
      </c>
      <c r="C93" s="27">
        <v>6372</v>
      </c>
      <c r="D93" s="287">
        <v>28.6394338939</v>
      </c>
      <c r="E93" s="27">
        <f t="shared" si="2"/>
        <v>157.68468108449156</v>
      </c>
      <c r="F93" s="27">
        <f t="shared" si="3"/>
        <v>222.49043132647924</v>
      </c>
    </row>
    <row r="94" spans="1:6" ht="12.75">
      <c r="A94" s="270" t="s">
        <v>309</v>
      </c>
      <c r="B94" s="27">
        <v>3461</v>
      </c>
      <c r="C94" s="27">
        <v>9722</v>
      </c>
      <c r="D94" s="287">
        <v>17.134197377</v>
      </c>
      <c r="E94" s="27">
        <f t="shared" si="2"/>
        <v>201.99370439410575</v>
      </c>
      <c r="F94" s="27">
        <f t="shared" si="3"/>
        <v>567.4032921466328</v>
      </c>
    </row>
    <row r="95" spans="1:6" ht="12.75">
      <c r="A95" s="270" t="s">
        <v>312</v>
      </c>
      <c r="B95" s="27">
        <v>5189</v>
      </c>
      <c r="C95" s="27">
        <v>5910</v>
      </c>
      <c r="D95" s="287">
        <v>10.2041563735</v>
      </c>
      <c r="E95" s="27">
        <f t="shared" si="2"/>
        <v>508.51827530551515</v>
      </c>
      <c r="F95" s="27">
        <f t="shared" si="3"/>
        <v>579.1757577675071</v>
      </c>
    </row>
    <row r="96" spans="1:6" ht="12.75">
      <c r="A96" s="270" t="s">
        <v>314</v>
      </c>
      <c r="B96" s="27">
        <v>3393</v>
      </c>
      <c r="C96" s="27">
        <v>9160</v>
      </c>
      <c r="D96" s="287">
        <v>4.47053675147</v>
      </c>
      <c r="E96" s="27">
        <f t="shared" si="2"/>
        <v>758.9692666958425</v>
      </c>
      <c r="F96" s="27">
        <f t="shared" si="3"/>
        <v>2048.970964613592</v>
      </c>
    </row>
    <row r="97" spans="1:6" ht="12.75">
      <c r="A97" s="270" t="s">
        <v>159</v>
      </c>
      <c r="B97" s="27">
        <v>13964</v>
      </c>
      <c r="C97" s="27">
        <v>116044</v>
      </c>
      <c r="D97" s="287">
        <v>9.165538999</v>
      </c>
      <c r="E97" s="27">
        <f t="shared" si="2"/>
        <v>1523.5328769561213</v>
      </c>
      <c r="F97" s="27">
        <f t="shared" si="3"/>
        <v>12660.902977191074</v>
      </c>
    </row>
    <row r="98" spans="1:6" ht="12.75">
      <c r="A98" s="270" t="s">
        <v>25</v>
      </c>
      <c r="B98" s="27">
        <v>14090</v>
      </c>
      <c r="C98" s="27">
        <v>124498</v>
      </c>
      <c r="D98" s="287">
        <v>6.73108843162</v>
      </c>
      <c r="E98" s="27">
        <f t="shared" si="2"/>
        <v>2093.272156968067</v>
      </c>
      <c r="F98" s="27">
        <f t="shared" si="3"/>
        <v>18495.968559134875</v>
      </c>
    </row>
    <row r="99" spans="1:6" ht="12.75">
      <c r="A99" s="270" t="s">
        <v>156</v>
      </c>
      <c r="B99" s="27">
        <v>13655</v>
      </c>
      <c r="C99" s="27">
        <v>7874</v>
      </c>
      <c r="D99" s="287">
        <v>5.94545014873</v>
      </c>
      <c r="E99" s="27">
        <f t="shared" si="2"/>
        <v>2296.714236670007</v>
      </c>
      <c r="F99" s="27">
        <f t="shared" si="3"/>
        <v>1324.3740680732064</v>
      </c>
    </row>
    <row r="100" spans="1:6" ht="12.75">
      <c r="A100" s="270" t="s">
        <v>88</v>
      </c>
      <c r="B100" s="27">
        <v>6461</v>
      </c>
      <c r="C100" s="27">
        <v>33929</v>
      </c>
      <c r="D100" s="287">
        <v>2.99</v>
      </c>
      <c r="E100" s="27">
        <f t="shared" si="2"/>
        <v>2160.869565217391</v>
      </c>
      <c r="F100" s="27">
        <f t="shared" si="3"/>
        <v>11347.491638795986</v>
      </c>
    </row>
    <row r="101" spans="1:6" ht="12.75">
      <c r="A101" s="270" t="s">
        <v>200</v>
      </c>
      <c r="B101" s="27">
        <v>6101</v>
      </c>
      <c r="C101" s="27">
        <v>1999</v>
      </c>
      <c r="D101" s="287">
        <v>4.88092345875</v>
      </c>
      <c r="E101" s="27">
        <f t="shared" si="2"/>
        <v>1249.9683823278926</v>
      </c>
      <c r="F101" s="27">
        <f t="shared" si="3"/>
        <v>409.55364633231557</v>
      </c>
    </row>
    <row r="102" spans="1:6" ht="12.75">
      <c r="A102" s="270" t="s">
        <v>264</v>
      </c>
      <c r="B102" s="27">
        <v>8526</v>
      </c>
      <c r="C102" s="27">
        <v>32718</v>
      </c>
      <c r="D102" s="287">
        <v>6.51808148217</v>
      </c>
      <c r="E102" s="27">
        <f t="shared" si="2"/>
        <v>1308.0536080014642</v>
      </c>
      <c r="F102" s="27">
        <f t="shared" si="3"/>
        <v>5019.575175532712</v>
      </c>
    </row>
    <row r="103" spans="1:6" ht="12.75">
      <c r="A103" s="270" t="s">
        <v>259</v>
      </c>
      <c r="B103" s="27">
        <v>13949</v>
      </c>
      <c r="C103" s="27">
        <v>34378</v>
      </c>
      <c r="D103" s="287">
        <v>13.6390331543</v>
      </c>
      <c r="E103" s="27">
        <f t="shared" si="2"/>
        <v>1022.7264529819166</v>
      </c>
      <c r="F103" s="27">
        <f t="shared" si="3"/>
        <v>2520.559896810691</v>
      </c>
    </row>
    <row r="104" spans="1:6" ht="12.75">
      <c r="A104" s="270" t="s">
        <v>203</v>
      </c>
      <c r="B104" s="27">
        <v>6701</v>
      </c>
      <c r="C104" s="27">
        <v>4868</v>
      </c>
      <c r="D104" s="287">
        <v>5.59539922466</v>
      </c>
      <c r="E104" s="27">
        <f t="shared" si="2"/>
        <v>1197.5910441684669</v>
      </c>
      <c r="F104" s="27">
        <f t="shared" si="3"/>
        <v>870.0004779901652</v>
      </c>
    </row>
    <row r="105" spans="1:6" ht="12.75">
      <c r="A105" s="270" t="s">
        <v>266</v>
      </c>
      <c r="B105" s="27">
        <v>11334</v>
      </c>
      <c r="C105" s="27">
        <v>10800</v>
      </c>
      <c r="D105" s="287">
        <v>8.49426924344</v>
      </c>
      <c r="E105" s="27">
        <f t="shared" si="2"/>
        <v>1334.3113663077118</v>
      </c>
      <c r="F105" s="27">
        <f t="shared" si="3"/>
        <v>1271.4454522783915</v>
      </c>
    </row>
    <row r="106" spans="1:6" ht="12.75">
      <c r="A106" s="270" t="s">
        <v>205</v>
      </c>
      <c r="B106" s="27">
        <v>7323</v>
      </c>
      <c r="C106" s="27">
        <v>3837</v>
      </c>
      <c r="D106" s="287">
        <v>4.32282069294</v>
      </c>
      <c r="E106" s="27">
        <f t="shared" si="2"/>
        <v>1694.0327902010538</v>
      </c>
      <c r="F106" s="27">
        <f t="shared" si="3"/>
        <v>887.6148867952264</v>
      </c>
    </row>
    <row r="107" spans="1:6" ht="12.75">
      <c r="A107" s="270" t="s">
        <v>317</v>
      </c>
      <c r="B107" s="27">
        <v>532</v>
      </c>
      <c r="C107" s="27">
        <v>1022</v>
      </c>
      <c r="D107" s="287">
        <v>15.9450519115</v>
      </c>
      <c r="E107" s="27">
        <f t="shared" si="2"/>
        <v>33.364582502005355</v>
      </c>
      <c r="F107" s="27">
        <f t="shared" si="3"/>
        <v>64.09511901701029</v>
      </c>
    </row>
    <row r="108" spans="1:6" ht="12.75">
      <c r="A108" s="270" t="s">
        <v>320</v>
      </c>
      <c r="B108" s="27">
        <v>2204</v>
      </c>
      <c r="C108" s="27">
        <v>3839</v>
      </c>
      <c r="D108" s="287">
        <v>8.0541557105</v>
      </c>
      <c r="E108" s="27">
        <f t="shared" si="2"/>
        <v>273.64755279398196</v>
      </c>
      <c r="F108" s="27">
        <f>C108/D108</f>
        <v>476.64834626864643</v>
      </c>
    </row>
    <row r="109" spans="1:6" ht="12.75">
      <c r="A109" s="270" t="s">
        <v>143</v>
      </c>
      <c r="B109" s="27">
        <v>17642</v>
      </c>
      <c r="C109" s="27">
        <v>15320</v>
      </c>
      <c r="D109" s="287">
        <v>9.23160107339</v>
      </c>
      <c r="E109" s="27">
        <f t="shared" si="2"/>
        <v>1911.0444504423933</v>
      </c>
      <c r="F109" s="27">
        <f t="shared" si="3"/>
        <v>1659.517117150973</v>
      </c>
    </row>
    <row r="110" spans="1:6" ht="12.75">
      <c r="A110" s="270" t="s">
        <v>145</v>
      </c>
      <c r="B110" s="27">
        <v>12076</v>
      </c>
      <c r="C110" s="27">
        <v>31396</v>
      </c>
      <c r="D110" s="287">
        <v>8.46</v>
      </c>
      <c r="E110" s="27">
        <f t="shared" si="2"/>
        <v>1427.4231678486997</v>
      </c>
      <c r="F110" s="27">
        <f t="shared" si="3"/>
        <v>3711.111111111111</v>
      </c>
    </row>
    <row r="111" spans="1:6" ht="12.75">
      <c r="A111" s="270" t="s">
        <v>31</v>
      </c>
      <c r="B111" s="27">
        <v>23171</v>
      </c>
      <c r="C111" s="27">
        <v>99265</v>
      </c>
      <c r="D111" s="287">
        <v>8.25696827572</v>
      </c>
      <c r="E111" s="27">
        <f t="shared" si="2"/>
        <v>2806.235803053211</v>
      </c>
      <c r="F111" s="27">
        <f t="shared" si="3"/>
        <v>12021.966984164557</v>
      </c>
    </row>
    <row r="112" spans="1:6" ht="12.75">
      <c r="A112" s="270" t="s">
        <v>269</v>
      </c>
      <c r="B112" s="27">
        <v>9912</v>
      </c>
      <c r="C112" s="27">
        <v>31785</v>
      </c>
      <c r="D112" s="287">
        <v>5.68</v>
      </c>
      <c r="E112" s="27">
        <f t="shared" si="2"/>
        <v>1745.0704225352113</v>
      </c>
      <c r="F112" s="27">
        <f t="shared" si="3"/>
        <v>5595.950704225353</v>
      </c>
    </row>
    <row r="113" spans="1:6" ht="12.75">
      <c r="A113" s="270" t="s">
        <v>42</v>
      </c>
      <c r="B113" s="27">
        <v>14417</v>
      </c>
      <c r="C113" s="27">
        <v>37924</v>
      </c>
      <c r="D113" s="287">
        <v>5.89861081067</v>
      </c>
      <c r="E113" s="27">
        <f t="shared" si="2"/>
        <v>2444.134807795944</v>
      </c>
      <c r="F113" s="27">
        <f t="shared" si="3"/>
        <v>6429.310428719802</v>
      </c>
    </row>
    <row r="114" spans="1:6" ht="12.75">
      <c r="A114" s="270" t="s">
        <v>56</v>
      </c>
      <c r="B114" s="27">
        <v>18394</v>
      </c>
      <c r="C114" s="27">
        <v>103036</v>
      </c>
      <c r="D114" s="287">
        <v>8.6</v>
      </c>
      <c r="E114" s="27">
        <f t="shared" si="2"/>
        <v>2138.837209302326</v>
      </c>
      <c r="F114" s="27">
        <f t="shared" si="3"/>
        <v>11980.93023255814</v>
      </c>
    </row>
    <row r="115" spans="1:6" ht="12.75">
      <c r="A115" s="270" t="s">
        <v>69</v>
      </c>
      <c r="B115" s="27">
        <v>15903</v>
      </c>
      <c r="C115" s="27">
        <v>99512</v>
      </c>
      <c r="D115" s="287">
        <v>8.43308238276</v>
      </c>
      <c r="E115" s="27">
        <f t="shared" si="2"/>
        <v>1885.787340642014</v>
      </c>
      <c r="F115" s="27">
        <f t="shared" si="3"/>
        <v>11800.19303540012</v>
      </c>
    </row>
    <row r="116" spans="1:6" ht="12.75">
      <c r="A116" s="270" t="s">
        <v>147</v>
      </c>
      <c r="B116" s="27">
        <v>19336</v>
      </c>
      <c r="C116" s="27">
        <v>120371</v>
      </c>
      <c r="D116" s="287">
        <v>8.58</v>
      </c>
      <c r="E116" s="27">
        <f t="shared" si="2"/>
        <v>2253.6130536130536</v>
      </c>
      <c r="F116" s="27">
        <f t="shared" si="3"/>
        <v>14029.254079254079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140625" style="21" customWidth="1"/>
    <col min="2" max="2" width="16.421875" style="21" customWidth="1"/>
    <col min="3" max="3" width="14.8515625" style="21" customWidth="1"/>
    <col min="4" max="4" width="43.421875" style="21" bestFit="1" customWidth="1"/>
    <col min="5" max="5" width="10.140625" style="22" customWidth="1"/>
    <col min="6" max="6" width="14.28125" style="308" bestFit="1" customWidth="1"/>
    <col min="7" max="7" width="23.28125" style="308" customWidth="1"/>
    <col min="8" max="8" width="14.421875" style="308" bestFit="1" customWidth="1"/>
    <col min="9" max="9" width="17.28125" style="314" customWidth="1"/>
    <col min="10" max="10" width="16.7109375" style="274" customWidth="1"/>
    <col min="11" max="11" width="11.140625" style="21" customWidth="1"/>
  </cols>
  <sheetData>
    <row r="1" spans="1:10" ht="12.75" customHeight="1">
      <c r="A1" s="267"/>
      <c r="B1" s="391" t="s">
        <v>6</v>
      </c>
      <c r="C1" s="392"/>
      <c r="D1" s="393"/>
      <c r="E1" s="268"/>
      <c r="F1" s="305"/>
      <c r="G1" s="305"/>
      <c r="H1" s="305"/>
      <c r="I1" s="392"/>
      <c r="J1" s="392"/>
    </row>
    <row r="2" spans="1:11" s="2" customFormat="1" ht="25.5">
      <c r="A2" s="270" t="s">
        <v>747</v>
      </c>
      <c r="B2" s="11" t="s">
        <v>327</v>
      </c>
      <c r="C2" s="11" t="s">
        <v>328</v>
      </c>
      <c r="D2" s="11" t="s">
        <v>329</v>
      </c>
      <c r="E2" s="316" t="s">
        <v>330</v>
      </c>
      <c r="F2" s="317" t="s">
        <v>717</v>
      </c>
      <c r="G2" s="317" t="s">
        <v>718</v>
      </c>
      <c r="H2" s="317" t="s">
        <v>737</v>
      </c>
      <c r="I2" s="309" t="s">
        <v>719</v>
      </c>
      <c r="J2" s="70" t="s">
        <v>738</v>
      </c>
      <c r="K2" s="269" t="s">
        <v>627</v>
      </c>
    </row>
    <row r="3" spans="1:11" ht="12.75">
      <c r="A3" s="21" t="s">
        <v>205</v>
      </c>
      <c r="B3" s="12" t="s">
        <v>129</v>
      </c>
      <c r="C3" s="13" t="s">
        <v>83</v>
      </c>
      <c r="D3" s="13" t="s">
        <v>206</v>
      </c>
      <c r="E3" s="13">
        <v>5</v>
      </c>
      <c r="F3" s="306">
        <v>2888.4999920278788</v>
      </c>
      <c r="G3" s="306">
        <v>190.09999999403954</v>
      </c>
      <c r="H3" s="315">
        <v>0.06581270573609362</v>
      </c>
      <c r="I3" s="306">
        <v>774.8999979346991</v>
      </c>
      <c r="J3" s="304">
        <v>0.2682707287773536</v>
      </c>
      <c r="K3" s="21" t="s">
        <v>88</v>
      </c>
    </row>
    <row r="4" spans="1:11" ht="12.75">
      <c r="A4" s="21" t="s">
        <v>82</v>
      </c>
      <c r="B4" s="5" t="s">
        <v>83</v>
      </c>
      <c r="C4" s="6" t="s">
        <v>4</v>
      </c>
      <c r="D4" s="6" t="s">
        <v>84</v>
      </c>
      <c r="E4" s="10">
        <v>5</v>
      </c>
      <c r="F4" s="306">
        <v>2888.4999920278788</v>
      </c>
      <c r="G4" s="306">
        <v>190.09999999403954</v>
      </c>
      <c r="H4" s="315">
        <v>0.06581270573609362</v>
      </c>
      <c r="I4" s="306">
        <v>774.8999979346991</v>
      </c>
      <c r="J4" s="304">
        <v>0.2682707287773536</v>
      </c>
      <c r="K4" s="21" t="s">
        <v>88</v>
      </c>
    </row>
    <row r="5" spans="1:11" ht="12.75">
      <c r="A5" s="21" t="s">
        <v>38</v>
      </c>
      <c r="B5" s="5" t="s">
        <v>39</v>
      </c>
      <c r="C5" s="6" t="s">
        <v>40</v>
      </c>
      <c r="D5" s="6" t="s">
        <v>41</v>
      </c>
      <c r="E5" s="10">
        <v>8</v>
      </c>
      <c r="F5" s="306">
        <v>3948.8000052198768</v>
      </c>
      <c r="G5" s="306">
        <v>1698.7000087872148</v>
      </c>
      <c r="H5" s="315">
        <v>0.43018132256425273</v>
      </c>
      <c r="I5" s="306">
        <v>2970.0000030249357</v>
      </c>
      <c r="J5" s="304">
        <v>0.7521272282969318</v>
      </c>
      <c r="K5" s="21" t="s">
        <v>56</v>
      </c>
    </row>
    <row r="6" spans="1:11" ht="12.75">
      <c r="A6" s="21" t="s">
        <v>199</v>
      </c>
      <c r="B6" s="5" t="s">
        <v>39</v>
      </c>
      <c r="C6" s="6" t="s">
        <v>8</v>
      </c>
      <c r="D6" s="6" t="s">
        <v>63</v>
      </c>
      <c r="E6" s="6">
        <v>9</v>
      </c>
      <c r="F6" s="306">
        <v>1268.5000006332994</v>
      </c>
      <c r="G6" s="306">
        <v>1190.5000005662441</v>
      </c>
      <c r="H6" s="315">
        <v>0.9385100512194611</v>
      </c>
      <c r="I6" s="306">
        <v>887.8999999910593</v>
      </c>
      <c r="J6" s="304">
        <v>0.6999605830096766</v>
      </c>
      <c r="K6" s="21" t="s">
        <v>628</v>
      </c>
    </row>
    <row r="7" spans="1:11" ht="12.75">
      <c r="A7" s="21" t="s">
        <v>29</v>
      </c>
      <c r="B7" s="5" t="s">
        <v>8</v>
      </c>
      <c r="C7" s="6" t="s">
        <v>4</v>
      </c>
      <c r="D7" s="6" t="s">
        <v>30</v>
      </c>
      <c r="E7" s="10">
        <v>10</v>
      </c>
      <c r="F7" s="306">
        <v>1755.8000083342195</v>
      </c>
      <c r="G7" s="306">
        <v>0</v>
      </c>
      <c r="H7" s="315">
        <v>0</v>
      </c>
      <c r="I7" s="306">
        <v>702.8000066280365</v>
      </c>
      <c r="J7" s="304">
        <v>0.4002733815309661</v>
      </c>
      <c r="K7" s="21" t="s">
        <v>207</v>
      </c>
    </row>
    <row r="8" spans="1:11" ht="12.75">
      <c r="A8" s="21" t="s">
        <v>10</v>
      </c>
      <c r="B8" s="5" t="s">
        <v>11</v>
      </c>
      <c r="C8" s="6" t="s">
        <v>4</v>
      </c>
      <c r="D8" s="6" t="s">
        <v>9</v>
      </c>
      <c r="E8" s="7">
        <v>11</v>
      </c>
      <c r="F8" s="306">
        <v>1544.8999992609024</v>
      </c>
      <c r="G8" s="306">
        <v>435.8000039458275</v>
      </c>
      <c r="H8" s="315">
        <v>0.28208945831724974</v>
      </c>
      <c r="I8" s="306">
        <v>822.400000333786</v>
      </c>
      <c r="J8" s="304">
        <v>0.532332190256477</v>
      </c>
      <c r="K8" s="21" t="s">
        <v>10</v>
      </c>
    </row>
    <row r="9" spans="1:11" ht="12.75">
      <c r="A9" s="21" t="s">
        <v>7</v>
      </c>
      <c r="B9" s="5" t="s">
        <v>8</v>
      </c>
      <c r="C9" s="6" t="s">
        <v>4</v>
      </c>
      <c r="D9" s="6" t="s">
        <v>9</v>
      </c>
      <c r="E9" s="10">
        <v>12</v>
      </c>
      <c r="F9" s="306">
        <v>1578.7000058218837</v>
      </c>
      <c r="G9" s="306">
        <v>256.5000026524067</v>
      </c>
      <c r="H9" s="315">
        <v>0.16247545556881832</v>
      </c>
      <c r="I9" s="306">
        <v>1052.500004120171</v>
      </c>
      <c r="J9" s="304">
        <v>0.6666877812369623</v>
      </c>
      <c r="K9" s="21" t="s">
        <v>150</v>
      </c>
    </row>
    <row r="10" spans="1:11" ht="12.75">
      <c r="A10" s="21" t="s">
        <v>72</v>
      </c>
      <c r="B10" s="5" t="s">
        <v>73</v>
      </c>
      <c r="C10" s="6" t="s">
        <v>4</v>
      </c>
      <c r="D10" s="6" t="s">
        <v>74</v>
      </c>
      <c r="E10" s="10">
        <v>13</v>
      </c>
      <c r="F10" s="306">
        <v>1263.2999940514565</v>
      </c>
      <c r="G10" s="306">
        <v>0</v>
      </c>
      <c r="H10" s="315">
        <v>0</v>
      </c>
      <c r="I10" s="306">
        <v>1048.29999461025</v>
      </c>
      <c r="J10" s="304">
        <v>0.8298108125911626</v>
      </c>
      <c r="K10" s="21" t="s">
        <v>153</v>
      </c>
    </row>
    <row r="11" spans="1:11" ht="12.75">
      <c r="A11" s="21" t="s">
        <v>85</v>
      </c>
      <c r="B11" s="5" t="s">
        <v>86</v>
      </c>
      <c r="C11" s="6" t="s">
        <v>4</v>
      </c>
      <c r="D11" s="6" t="s">
        <v>87</v>
      </c>
      <c r="E11" s="10">
        <v>16</v>
      </c>
      <c r="F11" s="306">
        <v>1877.0000030249357</v>
      </c>
      <c r="G11" s="306">
        <v>453.3000006377697</v>
      </c>
      <c r="H11" s="315">
        <v>0.24150239739330873</v>
      </c>
      <c r="I11" s="306">
        <v>789.4000004529953</v>
      </c>
      <c r="J11" s="304">
        <v>0.42056473051721577</v>
      </c>
      <c r="K11" s="21" t="s">
        <v>629</v>
      </c>
    </row>
    <row r="12" spans="1:11" ht="12.75">
      <c r="A12" s="21" t="s">
        <v>207</v>
      </c>
      <c r="B12" s="5" t="s">
        <v>3</v>
      </c>
      <c r="C12" s="6" t="s">
        <v>4</v>
      </c>
      <c r="D12" s="6" t="s">
        <v>208</v>
      </c>
      <c r="E12" s="7">
        <v>17</v>
      </c>
      <c r="F12" s="306">
        <v>1106.400009252131</v>
      </c>
      <c r="G12" s="306">
        <v>0</v>
      </c>
      <c r="H12" s="315">
        <v>0</v>
      </c>
      <c r="I12" s="306">
        <v>166.2000017389655</v>
      </c>
      <c r="J12" s="304">
        <v>0.1502169200552593</v>
      </c>
      <c r="K12" s="21" t="s">
        <v>186</v>
      </c>
    </row>
    <row r="13" spans="1:11" ht="12.75">
      <c r="A13" s="21" t="s">
        <v>153</v>
      </c>
      <c r="B13" s="5" t="s">
        <v>154</v>
      </c>
      <c r="C13" s="6" t="s">
        <v>4</v>
      </c>
      <c r="D13" s="6" t="s">
        <v>155</v>
      </c>
      <c r="E13" s="7">
        <v>21</v>
      </c>
      <c r="F13" s="306">
        <v>804.3999988734722</v>
      </c>
      <c r="G13" s="306">
        <v>439.8999986574054</v>
      </c>
      <c r="H13" s="315">
        <v>0.5468672293305153</v>
      </c>
      <c r="I13" s="306">
        <v>370.50000017136335</v>
      </c>
      <c r="J13" s="304">
        <v>0.4605917462583699</v>
      </c>
      <c r="K13" s="21" t="s">
        <v>215</v>
      </c>
    </row>
    <row r="14" spans="1:11" ht="12.75">
      <c r="A14" s="21" t="s">
        <v>186</v>
      </c>
      <c r="B14" s="5" t="s">
        <v>48</v>
      </c>
      <c r="C14" s="6" t="s">
        <v>4</v>
      </c>
      <c r="D14" s="6" t="s">
        <v>187</v>
      </c>
      <c r="E14" s="7">
        <v>23</v>
      </c>
      <c r="F14" s="306">
        <v>836.600000590086</v>
      </c>
      <c r="G14" s="306">
        <v>674.1999999731779</v>
      </c>
      <c r="H14" s="315">
        <v>0.8058809460884997</v>
      </c>
      <c r="I14" s="306">
        <v>537.3000008016825</v>
      </c>
      <c r="J14" s="304">
        <v>0.6422424102590297</v>
      </c>
      <c r="K14" s="21" t="s">
        <v>221</v>
      </c>
    </row>
    <row r="15" spans="1:11" ht="12.75">
      <c r="A15" s="21" t="s">
        <v>56</v>
      </c>
      <c r="B15" s="5" t="s">
        <v>57</v>
      </c>
      <c r="C15" s="6" t="s">
        <v>4</v>
      </c>
      <c r="D15" s="6" t="s">
        <v>58</v>
      </c>
      <c r="E15" s="7">
        <v>24</v>
      </c>
      <c r="F15" s="306">
        <v>748.5000055879354</v>
      </c>
      <c r="G15" s="306">
        <v>0</v>
      </c>
      <c r="H15" s="315">
        <v>0</v>
      </c>
      <c r="I15" s="306">
        <v>574.6000058427453</v>
      </c>
      <c r="J15" s="304">
        <v>0.7676686727495823</v>
      </c>
      <c r="K15" s="21" t="s">
        <v>167</v>
      </c>
    </row>
    <row r="16" spans="1:11" ht="12.75">
      <c r="A16" s="21" t="s">
        <v>159</v>
      </c>
      <c r="B16" s="5" t="s">
        <v>21</v>
      </c>
      <c r="C16" s="6" t="s">
        <v>4</v>
      </c>
      <c r="D16" s="6" t="s">
        <v>160</v>
      </c>
      <c r="E16" s="6">
        <v>25</v>
      </c>
      <c r="F16" s="306">
        <v>364.9999991878867</v>
      </c>
      <c r="G16" s="306">
        <v>74.59999928623438</v>
      </c>
      <c r="H16" s="315">
        <v>0.20438356014306022</v>
      </c>
      <c r="I16" s="306">
        <v>248.19999922066927</v>
      </c>
      <c r="J16" s="304">
        <v>0.6799999993778255</v>
      </c>
      <c r="K16" s="21" t="s">
        <v>170</v>
      </c>
    </row>
    <row r="17" spans="1:11" ht="12.75">
      <c r="A17" s="21" t="s">
        <v>314</v>
      </c>
      <c r="B17" s="5" t="s">
        <v>315</v>
      </c>
      <c r="C17" s="6" t="s">
        <v>21</v>
      </c>
      <c r="D17" s="6" t="s">
        <v>316</v>
      </c>
      <c r="E17" s="6">
        <v>25</v>
      </c>
      <c r="F17" s="306">
        <v>364.9999991878867</v>
      </c>
      <c r="G17" s="306">
        <v>74.59999928623438</v>
      </c>
      <c r="H17" s="315">
        <v>0.20438356014306022</v>
      </c>
      <c r="I17" s="306">
        <v>248.19999922066927</v>
      </c>
      <c r="J17" s="304">
        <v>0.6799999993778255</v>
      </c>
      <c r="K17" s="21" t="s">
        <v>170</v>
      </c>
    </row>
    <row r="18" spans="1:11" ht="12.75">
      <c r="A18" s="21" t="s">
        <v>53</v>
      </c>
      <c r="B18" s="5" t="s">
        <v>54</v>
      </c>
      <c r="C18" s="6" t="s">
        <v>4</v>
      </c>
      <c r="D18" s="6" t="s">
        <v>55</v>
      </c>
      <c r="E18" s="6">
        <v>27</v>
      </c>
      <c r="F18" s="306">
        <v>563.3999989628792</v>
      </c>
      <c r="G18" s="306">
        <v>475.8999987989664</v>
      </c>
      <c r="H18" s="315">
        <v>0.8446929351704208</v>
      </c>
      <c r="I18" s="306">
        <v>439.5999990552664</v>
      </c>
      <c r="J18" s="304">
        <v>0.7802626905653054</v>
      </c>
      <c r="K18" s="21" t="s">
        <v>176</v>
      </c>
    </row>
    <row r="19" spans="1:11" ht="12.75">
      <c r="A19" s="21" t="s">
        <v>266</v>
      </c>
      <c r="B19" s="5" t="s">
        <v>17</v>
      </c>
      <c r="C19" s="6" t="s">
        <v>267</v>
      </c>
      <c r="D19" s="6" t="s">
        <v>268</v>
      </c>
      <c r="E19" s="6">
        <v>28</v>
      </c>
      <c r="F19" s="306">
        <v>1566.699997574091</v>
      </c>
      <c r="G19" s="306">
        <v>47.5999990478158</v>
      </c>
      <c r="H19" s="315">
        <v>0.030382331730082705</v>
      </c>
      <c r="I19" s="306">
        <v>178.49999967962503</v>
      </c>
      <c r="J19" s="304">
        <v>0.11393374606243566</v>
      </c>
      <c r="K19" s="21" t="s">
        <v>131</v>
      </c>
    </row>
    <row r="20" spans="1:11" ht="12.75">
      <c r="A20" s="21" t="s">
        <v>269</v>
      </c>
      <c r="B20" s="5" t="s">
        <v>270</v>
      </c>
      <c r="C20" s="6" t="s">
        <v>21</v>
      </c>
      <c r="D20" s="6" t="s">
        <v>271</v>
      </c>
      <c r="E20" s="7">
        <v>30</v>
      </c>
      <c r="F20" s="306">
        <v>1496.099994853139</v>
      </c>
      <c r="G20" s="306">
        <v>640.4999958276749</v>
      </c>
      <c r="H20" s="315">
        <v>0.4281130927285031</v>
      </c>
      <c r="I20" s="306">
        <v>1346.699994109571</v>
      </c>
      <c r="J20" s="304">
        <v>0.9001403641083272</v>
      </c>
      <c r="K20" s="21" t="s">
        <v>283</v>
      </c>
    </row>
    <row r="21" spans="1:11" ht="12.75">
      <c r="A21" s="21" t="s">
        <v>147</v>
      </c>
      <c r="B21" s="5" t="s">
        <v>148</v>
      </c>
      <c r="C21" s="6" t="s">
        <v>4</v>
      </c>
      <c r="D21" s="6" t="s">
        <v>149</v>
      </c>
      <c r="E21" s="7">
        <v>33</v>
      </c>
      <c r="F21" s="306">
        <v>708.4000013172626</v>
      </c>
      <c r="G21" s="306">
        <v>0</v>
      </c>
      <c r="H21" s="315">
        <v>0</v>
      </c>
      <c r="I21" s="306">
        <v>268.60000102221966</v>
      </c>
      <c r="J21" s="304">
        <v>0.3791643146848683</v>
      </c>
      <c r="K21" s="21" t="s">
        <v>288</v>
      </c>
    </row>
    <row r="22" spans="1:11" ht="12.75">
      <c r="A22" s="21" t="s">
        <v>69</v>
      </c>
      <c r="B22" s="5" t="s">
        <v>70</v>
      </c>
      <c r="C22" s="6" t="s">
        <v>4</v>
      </c>
      <c r="D22" s="6" t="s">
        <v>71</v>
      </c>
      <c r="E22" s="10">
        <v>36</v>
      </c>
      <c r="F22" s="306">
        <v>3618.599996395409</v>
      </c>
      <c r="G22" s="306">
        <v>3618.599996395409</v>
      </c>
      <c r="H22" s="315">
        <v>1</v>
      </c>
      <c r="I22" s="306">
        <v>1970.4000059142709</v>
      </c>
      <c r="J22" s="304">
        <v>0.5445199822796227</v>
      </c>
      <c r="K22" s="21" t="s">
        <v>241</v>
      </c>
    </row>
    <row r="23" spans="1:11" ht="12.75">
      <c r="A23" s="21" t="s">
        <v>195</v>
      </c>
      <c r="B23" s="5" t="s">
        <v>196</v>
      </c>
      <c r="C23" s="6" t="s">
        <v>197</v>
      </c>
      <c r="D23" s="6" t="s">
        <v>198</v>
      </c>
      <c r="E23" s="6">
        <v>39</v>
      </c>
      <c r="F23" s="306">
        <v>616.2999997287989</v>
      </c>
      <c r="G23" s="306">
        <v>616.2999997287989</v>
      </c>
      <c r="H23" s="315">
        <v>1</v>
      </c>
      <c r="I23" s="306">
        <v>131.49999995529652</v>
      </c>
      <c r="J23" s="304">
        <v>0.21337011197981945</v>
      </c>
      <c r="K23" s="21" t="s">
        <v>246</v>
      </c>
    </row>
    <row r="24" spans="1:11" ht="12.75">
      <c r="A24" s="21" t="s">
        <v>104</v>
      </c>
      <c r="B24" s="5" t="s">
        <v>105</v>
      </c>
      <c r="C24" s="6" t="s">
        <v>4</v>
      </c>
      <c r="D24" s="6" t="s">
        <v>106</v>
      </c>
      <c r="E24" s="10">
        <v>41</v>
      </c>
      <c r="F24" s="306">
        <v>3837.4999786168337</v>
      </c>
      <c r="G24" s="306">
        <v>2185.9000106602907</v>
      </c>
      <c r="H24" s="315">
        <v>0.5696156411310689</v>
      </c>
      <c r="I24" s="306">
        <v>2185.9000106602907</v>
      </c>
      <c r="J24" s="304">
        <v>0.5696156411310689</v>
      </c>
      <c r="K24" s="21" t="s">
        <v>630</v>
      </c>
    </row>
    <row r="25" spans="1:11" ht="12.75">
      <c r="A25" s="21" t="s">
        <v>42</v>
      </c>
      <c r="B25" s="5" t="s">
        <v>3</v>
      </c>
      <c r="C25" s="6" t="s">
        <v>21</v>
      </c>
      <c r="D25" s="6" t="s">
        <v>43</v>
      </c>
      <c r="E25" s="10">
        <v>44</v>
      </c>
      <c r="F25" s="306">
        <v>2937.700005941093</v>
      </c>
      <c r="G25" s="306">
        <v>446.8999976068735</v>
      </c>
      <c r="H25" s="315">
        <v>0.1521258115883446</v>
      </c>
      <c r="I25" s="306">
        <v>446.8999976068735</v>
      </c>
      <c r="J25" s="304">
        <v>0.1521258115883446</v>
      </c>
      <c r="K25" s="21" t="s">
        <v>248</v>
      </c>
    </row>
    <row r="26" spans="1:11" ht="12.75">
      <c r="A26" s="21" t="s">
        <v>23</v>
      </c>
      <c r="B26" s="5" t="s">
        <v>21</v>
      </c>
      <c r="C26" s="6" t="s">
        <v>4</v>
      </c>
      <c r="D26" s="6" t="s">
        <v>24</v>
      </c>
      <c r="E26" s="10">
        <v>49</v>
      </c>
      <c r="F26" s="306">
        <v>3149.8999772518873</v>
      </c>
      <c r="G26" s="306">
        <v>1319.699996188283</v>
      </c>
      <c r="H26" s="315">
        <v>0.41896568326580574</v>
      </c>
      <c r="I26" s="306">
        <v>2949.099976465106</v>
      </c>
      <c r="J26" s="304">
        <v>0.936251943796016</v>
      </c>
      <c r="K26" s="21" t="s">
        <v>53</v>
      </c>
    </row>
    <row r="27" spans="1:11" ht="12.75">
      <c r="A27" s="21" t="s">
        <v>150</v>
      </c>
      <c r="B27" s="5" t="s">
        <v>151</v>
      </c>
      <c r="C27" s="6" t="s">
        <v>4</v>
      </c>
      <c r="D27" s="6" t="s">
        <v>152</v>
      </c>
      <c r="E27" s="7">
        <v>56</v>
      </c>
      <c r="F27" s="306">
        <v>348.49999921023846</v>
      </c>
      <c r="G27" s="306">
        <v>138.80000050365925</v>
      </c>
      <c r="H27" s="315">
        <v>0.3982783380723218</v>
      </c>
      <c r="I27" s="306">
        <v>166.800000526011</v>
      </c>
      <c r="J27" s="304">
        <v>0.47862267117362634</v>
      </c>
      <c r="K27" s="21" t="s">
        <v>312</v>
      </c>
    </row>
    <row r="28" spans="1:11" ht="12.75" customHeight="1">
      <c r="A28" s="21" t="s">
        <v>47</v>
      </c>
      <c r="B28" s="5" t="s">
        <v>8</v>
      </c>
      <c r="C28" s="6" t="s">
        <v>48</v>
      </c>
      <c r="D28" s="11" t="s">
        <v>49</v>
      </c>
      <c r="E28" s="10">
        <v>60</v>
      </c>
      <c r="F28" s="306">
        <v>4061.3999993652105</v>
      </c>
      <c r="G28" s="306">
        <v>3582.299997396767</v>
      </c>
      <c r="H28" s="315">
        <v>0.8820357507156829</v>
      </c>
      <c r="I28" s="306">
        <v>2566.699998408556</v>
      </c>
      <c r="J28" s="304">
        <v>0.6319741957969485</v>
      </c>
      <c r="K28" s="21" t="s">
        <v>200</v>
      </c>
    </row>
    <row r="29" spans="1:11" ht="12.75">
      <c r="A29" s="21" t="s">
        <v>145</v>
      </c>
      <c r="B29" s="5" t="s">
        <v>105</v>
      </c>
      <c r="C29" s="6" t="s">
        <v>21</v>
      </c>
      <c r="D29" s="6" t="s">
        <v>146</v>
      </c>
      <c r="E29" s="7">
        <v>65</v>
      </c>
      <c r="F29" s="306">
        <v>1580.100005954504</v>
      </c>
      <c r="G29" s="306">
        <v>759.10000295192</v>
      </c>
      <c r="H29" s="315">
        <v>0.4804126321696735</v>
      </c>
      <c r="I29" s="306">
        <v>1011.8000032603741</v>
      </c>
      <c r="J29" s="304">
        <v>0.6403392186870904</v>
      </c>
      <c r="K29" s="21" t="s">
        <v>203</v>
      </c>
    </row>
    <row r="30" spans="1:11" ht="12.75">
      <c r="A30" s="21" t="s">
        <v>138</v>
      </c>
      <c r="B30" s="5" t="s">
        <v>86</v>
      </c>
      <c r="C30" s="6" t="s">
        <v>21</v>
      </c>
      <c r="D30" s="6" t="s">
        <v>139</v>
      </c>
      <c r="E30" s="10">
        <v>67</v>
      </c>
      <c r="F30" s="306">
        <v>954.7000071257353</v>
      </c>
      <c r="G30" s="306">
        <v>366.9000046849251</v>
      </c>
      <c r="H30" s="315">
        <v>0.38430920911955524</v>
      </c>
      <c r="I30" s="306">
        <v>430.60000479221344</v>
      </c>
      <c r="J30" s="304">
        <v>0.4510317393718243</v>
      </c>
      <c r="K30" s="21" t="s">
        <v>205</v>
      </c>
    </row>
    <row r="31" spans="1:11" ht="12.75">
      <c r="A31" s="21" t="s">
        <v>264</v>
      </c>
      <c r="B31" s="5" t="s">
        <v>86</v>
      </c>
      <c r="C31" s="6" t="s">
        <v>21</v>
      </c>
      <c r="D31" s="6" t="s">
        <v>265</v>
      </c>
      <c r="E31" s="6">
        <v>68</v>
      </c>
      <c r="F31" s="306">
        <v>1378.9999986737967</v>
      </c>
      <c r="G31" s="306">
        <v>642.5000047385693</v>
      </c>
      <c r="H31" s="315">
        <v>0.4659173352838799</v>
      </c>
      <c r="I31" s="306">
        <v>1011.2000020444393</v>
      </c>
      <c r="J31" s="304">
        <v>0.733284991310315</v>
      </c>
      <c r="K31" s="21" t="s">
        <v>317</v>
      </c>
    </row>
    <row r="32" spans="1:11" ht="12.75">
      <c r="A32" s="21" t="s">
        <v>20</v>
      </c>
      <c r="B32" s="5" t="s">
        <v>21</v>
      </c>
      <c r="C32" s="6" t="s">
        <v>4</v>
      </c>
      <c r="D32" s="6" t="s">
        <v>22</v>
      </c>
      <c r="E32" s="10">
        <v>70</v>
      </c>
      <c r="F32" s="306">
        <v>1925.3999969139695</v>
      </c>
      <c r="G32" s="306">
        <v>715.8999972343445</v>
      </c>
      <c r="H32" s="315">
        <v>0.3718188419973973</v>
      </c>
      <c r="I32" s="306">
        <v>1889.2999967709184</v>
      </c>
      <c r="J32" s="304">
        <v>0.981250649111399</v>
      </c>
      <c r="K32" s="21" t="s">
        <v>631</v>
      </c>
    </row>
    <row r="33" spans="1:11" ht="12.75">
      <c r="A33" s="21" t="s">
        <v>200</v>
      </c>
      <c r="B33" s="5" t="s">
        <v>201</v>
      </c>
      <c r="C33" s="6" t="s">
        <v>26</v>
      </c>
      <c r="D33" s="6" t="s">
        <v>202</v>
      </c>
      <c r="E33" s="6">
        <v>71</v>
      </c>
      <c r="F33" s="306">
        <v>271.4999975711107</v>
      </c>
      <c r="G33" s="306">
        <v>160.49999690055847</v>
      </c>
      <c r="H33" s="315">
        <v>0.591160214867113</v>
      </c>
      <c r="I33" s="306">
        <v>215.09999721497297</v>
      </c>
      <c r="J33" s="304">
        <v>0.7922651901999904</v>
      </c>
      <c r="K33" s="21" t="s">
        <v>632</v>
      </c>
    </row>
    <row r="34" spans="1:11" ht="12.75">
      <c r="A34" s="21" t="s">
        <v>143</v>
      </c>
      <c r="B34" s="5" t="s">
        <v>3</v>
      </c>
      <c r="C34" s="6" t="s">
        <v>105</v>
      </c>
      <c r="D34" s="6" t="s">
        <v>144</v>
      </c>
      <c r="E34" s="10">
        <v>75</v>
      </c>
      <c r="F34" s="306">
        <v>2838.4000004306436</v>
      </c>
      <c r="G34" s="306">
        <v>978.3000011369586</v>
      </c>
      <c r="H34" s="315">
        <v>0.344666009367436</v>
      </c>
      <c r="I34" s="306">
        <v>1843.4000019356608</v>
      </c>
      <c r="J34" s="304">
        <v>0.6494503951719205</v>
      </c>
      <c r="K34" s="21" t="s">
        <v>633</v>
      </c>
    </row>
    <row r="35" spans="1:11" ht="12.75">
      <c r="A35" s="21" t="s">
        <v>236</v>
      </c>
      <c r="B35" s="5" t="s">
        <v>105</v>
      </c>
      <c r="C35" s="6" t="s">
        <v>21</v>
      </c>
      <c r="D35" s="6" t="s">
        <v>237</v>
      </c>
      <c r="E35" s="10">
        <v>75</v>
      </c>
      <c r="F35" s="306">
        <v>2838.4000004306436</v>
      </c>
      <c r="G35" s="306">
        <v>978.3000011369586</v>
      </c>
      <c r="H35" s="315">
        <v>0.344666009367436</v>
      </c>
      <c r="I35" s="306">
        <v>1843.4000019356608</v>
      </c>
      <c r="J35" s="304">
        <v>0.6494503951719205</v>
      </c>
      <c r="K35" s="21" t="s">
        <v>633</v>
      </c>
    </row>
    <row r="36" spans="1:11" ht="12.75">
      <c r="A36" s="21" t="s">
        <v>116</v>
      </c>
      <c r="B36" s="5" t="s">
        <v>98</v>
      </c>
      <c r="C36" s="6" t="s">
        <v>4</v>
      </c>
      <c r="D36" s="6" t="s">
        <v>117</v>
      </c>
      <c r="E36" s="10">
        <v>101</v>
      </c>
      <c r="F36" s="306">
        <v>1831.7999976724386</v>
      </c>
      <c r="G36" s="306">
        <v>1831.7999976724386</v>
      </c>
      <c r="H36" s="315">
        <v>1</v>
      </c>
      <c r="I36" s="306">
        <v>1831.7999976724386</v>
      </c>
      <c r="J36" s="304">
        <v>1</v>
      </c>
      <c r="K36" s="21" t="s">
        <v>634</v>
      </c>
    </row>
    <row r="37" spans="1:11" ht="12.75">
      <c r="A37" s="21" t="s">
        <v>131</v>
      </c>
      <c r="B37" s="5" t="s">
        <v>98</v>
      </c>
      <c r="C37" s="6" t="s">
        <v>132</v>
      </c>
      <c r="D37" s="6" t="s">
        <v>133</v>
      </c>
      <c r="E37" s="7">
        <v>105</v>
      </c>
      <c r="F37" s="306">
        <v>474.0000031143427</v>
      </c>
      <c r="G37" s="306">
        <v>409.60000255703926</v>
      </c>
      <c r="H37" s="315">
        <v>0.8641350208139803</v>
      </c>
      <c r="I37" s="306">
        <v>474.0000031143427</v>
      </c>
      <c r="J37" s="304">
        <v>1</v>
      </c>
      <c r="K37" s="21" t="s">
        <v>635</v>
      </c>
    </row>
    <row r="38" spans="1:11" ht="12.75">
      <c r="A38" s="21" t="s">
        <v>176</v>
      </c>
      <c r="B38" s="5" t="s">
        <v>98</v>
      </c>
      <c r="C38" s="6" t="s">
        <v>4</v>
      </c>
      <c r="D38" s="6" t="s">
        <v>177</v>
      </c>
      <c r="E38" s="7">
        <v>106</v>
      </c>
      <c r="F38" s="306">
        <v>2033.7000008299947</v>
      </c>
      <c r="G38" s="306">
        <v>1977.5000006332994</v>
      </c>
      <c r="H38" s="315">
        <v>0.9723656388976943</v>
      </c>
      <c r="I38" s="306">
        <v>1707.900002449751</v>
      </c>
      <c r="J38" s="304">
        <v>0.8397993813014318</v>
      </c>
      <c r="K38" s="21" t="s">
        <v>636</v>
      </c>
    </row>
    <row r="39" spans="1:11" ht="12.75">
      <c r="A39" s="21" t="s">
        <v>227</v>
      </c>
      <c r="B39" s="5" t="s">
        <v>98</v>
      </c>
      <c r="C39" s="6" t="s">
        <v>39</v>
      </c>
      <c r="D39" s="6" t="s">
        <v>228</v>
      </c>
      <c r="E39" s="7">
        <v>107</v>
      </c>
      <c r="F39" s="306">
        <v>674.600004337728</v>
      </c>
      <c r="G39" s="306">
        <v>674.600004337728</v>
      </c>
      <c r="H39" s="315">
        <v>1</v>
      </c>
      <c r="I39" s="306">
        <v>616.4000034183264</v>
      </c>
      <c r="J39" s="304">
        <v>0.9137266520231673</v>
      </c>
      <c r="K39" s="21" t="s">
        <v>637</v>
      </c>
    </row>
    <row r="40" spans="1:11" ht="12.75">
      <c r="A40" s="21" t="s">
        <v>317</v>
      </c>
      <c r="B40" s="5" t="s">
        <v>318</v>
      </c>
      <c r="C40" s="6" t="s">
        <v>319</v>
      </c>
      <c r="D40" s="6" t="s">
        <v>325</v>
      </c>
      <c r="E40" s="6">
        <v>118</v>
      </c>
      <c r="F40" s="306">
        <v>60.99999970942736</v>
      </c>
      <c r="G40" s="306">
        <v>0</v>
      </c>
      <c r="H40" s="315">
        <v>0</v>
      </c>
      <c r="I40" s="306">
        <v>47.5000000372529</v>
      </c>
      <c r="J40" s="304">
        <v>0.7786885289101392</v>
      </c>
      <c r="K40" s="21" t="s">
        <v>638</v>
      </c>
    </row>
    <row r="41" spans="1:11" ht="12.75">
      <c r="A41" s="21" t="s">
        <v>44</v>
      </c>
      <c r="B41" s="5" t="s">
        <v>45</v>
      </c>
      <c r="C41" s="6" t="s">
        <v>4</v>
      </c>
      <c r="D41" s="6" t="s">
        <v>46</v>
      </c>
      <c r="E41" s="10">
        <v>120</v>
      </c>
      <c r="F41" s="306">
        <v>3205.500015102327</v>
      </c>
      <c r="G41" s="306">
        <v>2375.800011970103</v>
      </c>
      <c r="H41" s="315">
        <v>0.7411636252618335</v>
      </c>
      <c r="I41" s="306">
        <v>2925.2000135332346</v>
      </c>
      <c r="J41" s="304">
        <v>0.9125565433634402</v>
      </c>
      <c r="K41" s="21" t="s">
        <v>639</v>
      </c>
    </row>
    <row r="42" spans="1:11" ht="12.75">
      <c r="A42" s="21" t="s">
        <v>50</v>
      </c>
      <c r="B42" s="5" t="s">
        <v>51</v>
      </c>
      <c r="C42" s="6" t="s">
        <v>4</v>
      </c>
      <c r="D42" s="6" t="s">
        <v>52</v>
      </c>
      <c r="E42" s="7">
        <v>124</v>
      </c>
      <c r="F42" s="306">
        <v>1476.0999900102615</v>
      </c>
      <c r="G42" s="306">
        <v>1197.8999897167087</v>
      </c>
      <c r="H42" s="315">
        <v>0.8115303826459488</v>
      </c>
      <c r="I42" s="306">
        <v>988.5999939590693</v>
      </c>
      <c r="J42" s="304">
        <v>0.6697378230808041</v>
      </c>
      <c r="K42" s="21" t="s">
        <v>640</v>
      </c>
    </row>
    <row r="43" spans="1:11" ht="12.75">
      <c r="A43" s="21" t="s">
        <v>123</v>
      </c>
      <c r="B43" s="5" t="s">
        <v>48</v>
      </c>
      <c r="C43" s="6" t="s">
        <v>4</v>
      </c>
      <c r="D43" s="17" t="s">
        <v>124</v>
      </c>
      <c r="E43" s="7">
        <v>125</v>
      </c>
      <c r="F43" s="306">
        <v>1042.0000035911798</v>
      </c>
      <c r="G43" s="306">
        <v>898.600002579391</v>
      </c>
      <c r="H43" s="315">
        <v>0.8623800378910069</v>
      </c>
      <c r="I43" s="306">
        <v>292.7000011354685</v>
      </c>
      <c r="J43" s="304">
        <v>0.28090211144596783</v>
      </c>
      <c r="K43" s="21" t="s">
        <v>641</v>
      </c>
    </row>
    <row r="44" spans="1:11" ht="12.75">
      <c r="A44" s="21" t="s">
        <v>163</v>
      </c>
      <c r="B44" s="5" t="s">
        <v>164</v>
      </c>
      <c r="C44" s="6" t="s">
        <v>165</v>
      </c>
      <c r="D44" s="17" t="s">
        <v>166</v>
      </c>
      <c r="E44" s="10">
        <v>128</v>
      </c>
      <c r="F44" s="306">
        <v>1820.3000038862228</v>
      </c>
      <c r="G44" s="306">
        <v>1400.600002296269</v>
      </c>
      <c r="H44" s="315">
        <v>0.7694336094633184</v>
      </c>
      <c r="I44" s="306">
        <v>927.800000205636</v>
      </c>
      <c r="J44" s="304">
        <v>0.5096962029472302</v>
      </c>
      <c r="K44" s="21" t="s">
        <v>642</v>
      </c>
    </row>
    <row r="45" spans="1:11" ht="12.75">
      <c r="A45" s="21" t="s">
        <v>170</v>
      </c>
      <c r="B45" s="5" t="s">
        <v>171</v>
      </c>
      <c r="C45" s="6" t="s">
        <v>98</v>
      </c>
      <c r="D45" s="17" t="s">
        <v>172</v>
      </c>
      <c r="E45" s="7">
        <v>148</v>
      </c>
      <c r="F45" s="306">
        <v>382.0000009313226</v>
      </c>
      <c r="G45" s="306">
        <v>380.2000009417534</v>
      </c>
      <c r="H45" s="315">
        <v>0.9952879581539771</v>
      </c>
      <c r="I45" s="306">
        <v>265.200000397861</v>
      </c>
      <c r="J45" s="304">
        <v>0.6942408370452849</v>
      </c>
      <c r="K45" s="21" t="s">
        <v>643</v>
      </c>
    </row>
    <row r="46" spans="1:11" ht="12.75">
      <c r="A46" s="21" t="s">
        <v>293</v>
      </c>
      <c r="B46" s="5" t="s">
        <v>98</v>
      </c>
      <c r="C46" s="6" t="s">
        <v>222</v>
      </c>
      <c r="D46" s="17" t="s">
        <v>294</v>
      </c>
      <c r="E46" s="6">
        <v>149</v>
      </c>
      <c r="F46" s="306">
        <v>68.60000029206276</v>
      </c>
      <c r="G46" s="306">
        <v>32.200000025331974</v>
      </c>
      <c r="H46" s="315">
        <v>0.4693877534729051</v>
      </c>
      <c r="I46" s="306">
        <v>31.19999998807907</v>
      </c>
      <c r="J46" s="304">
        <v>0.45481049351670355</v>
      </c>
      <c r="K46" s="21" t="s">
        <v>644</v>
      </c>
    </row>
    <row r="47" spans="1:11" ht="12.75">
      <c r="A47" s="21" t="s">
        <v>100</v>
      </c>
      <c r="B47" s="5" t="s">
        <v>97</v>
      </c>
      <c r="C47" s="6" t="s">
        <v>4</v>
      </c>
      <c r="D47" s="17" t="s">
        <v>51</v>
      </c>
      <c r="E47" s="10">
        <v>150</v>
      </c>
      <c r="F47" s="306">
        <v>2304.0000196397305</v>
      </c>
      <c r="G47" s="306">
        <v>2304.0000196397305</v>
      </c>
      <c r="H47" s="315">
        <v>1</v>
      </c>
      <c r="I47" s="306">
        <v>2303.7000196278095</v>
      </c>
      <c r="J47" s="304">
        <v>0.9998697916626026</v>
      </c>
      <c r="K47" s="21" t="s">
        <v>645</v>
      </c>
    </row>
    <row r="48" spans="1:11" ht="12.75">
      <c r="A48" s="21" t="s">
        <v>246</v>
      </c>
      <c r="B48" s="5" t="s">
        <v>97</v>
      </c>
      <c r="C48" s="6" t="s">
        <v>98</v>
      </c>
      <c r="D48" s="17" t="s">
        <v>247</v>
      </c>
      <c r="E48" s="6">
        <v>153</v>
      </c>
      <c r="F48" s="306">
        <v>318.3999956250191</v>
      </c>
      <c r="G48" s="306">
        <v>318.29999562352896</v>
      </c>
      <c r="H48" s="315">
        <v>0.9996859296392457</v>
      </c>
      <c r="I48" s="306">
        <v>300.19999568909407</v>
      </c>
      <c r="J48" s="304">
        <v>0.942839195395721</v>
      </c>
      <c r="K48" s="21" t="s">
        <v>646</v>
      </c>
    </row>
    <row r="49" spans="1:11" ht="12.75">
      <c r="A49" s="21" t="s">
        <v>180</v>
      </c>
      <c r="B49" s="5" t="s">
        <v>51</v>
      </c>
      <c r="C49" s="6" t="s">
        <v>171</v>
      </c>
      <c r="D49" s="17" t="s">
        <v>181</v>
      </c>
      <c r="E49" s="6">
        <v>155</v>
      </c>
      <c r="F49" s="306">
        <v>233.2000008970499</v>
      </c>
      <c r="G49" s="306">
        <v>233.2000008970499</v>
      </c>
      <c r="H49" s="315">
        <v>1</v>
      </c>
      <c r="I49" s="306">
        <v>88.40000009536743</v>
      </c>
      <c r="J49" s="304">
        <v>0.37907375538301613</v>
      </c>
      <c r="K49" s="21" t="s">
        <v>647</v>
      </c>
    </row>
    <row r="50" spans="1:11" ht="12.75">
      <c r="A50" s="21" t="s">
        <v>113</v>
      </c>
      <c r="B50" s="5" t="s">
        <v>51</v>
      </c>
      <c r="C50" s="6" t="s">
        <v>114</v>
      </c>
      <c r="D50" s="17" t="s">
        <v>115</v>
      </c>
      <c r="E50" s="6">
        <v>156</v>
      </c>
      <c r="F50" s="306">
        <v>160.50000039488077</v>
      </c>
      <c r="G50" s="306">
        <v>160.50000039488077</v>
      </c>
      <c r="H50" s="315">
        <v>1</v>
      </c>
      <c r="I50" s="306">
        <v>126.00000011920929</v>
      </c>
      <c r="J50" s="304">
        <v>0.7850467277832364</v>
      </c>
      <c r="K50" s="21" t="s">
        <v>648</v>
      </c>
    </row>
    <row r="51" spans="1:11" ht="12.75">
      <c r="A51" s="21" t="s">
        <v>167</v>
      </c>
      <c r="B51" s="5" t="s">
        <v>168</v>
      </c>
      <c r="C51" s="6" t="s">
        <v>97</v>
      </c>
      <c r="D51" s="17" t="s">
        <v>169</v>
      </c>
      <c r="E51" s="7">
        <v>164</v>
      </c>
      <c r="F51" s="306">
        <v>1005.2999965399504</v>
      </c>
      <c r="G51" s="306">
        <v>628.6000029444695</v>
      </c>
      <c r="H51" s="315">
        <v>0.6252859893643589</v>
      </c>
      <c r="I51" s="306">
        <v>853.1999971196055</v>
      </c>
      <c r="J51" s="304">
        <v>0.8487018800916704</v>
      </c>
      <c r="K51" s="21" t="s">
        <v>649</v>
      </c>
    </row>
    <row r="52" spans="1:11" ht="12.75">
      <c r="A52" s="21" t="s">
        <v>229</v>
      </c>
      <c r="B52" s="5" t="s">
        <v>97</v>
      </c>
      <c r="C52" s="6" t="s">
        <v>230</v>
      </c>
      <c r="D52" s="17" t="s">
        <v>231</v>
      </c>
      <c r="E52" s="10">
        <v>168</v>
      </c>
      <c r="F52" s="306">
        <v>827.5000026598573</v>
      </c>
      <c r="G52" s="306">
        <v>580.1000016480684</v>
      </c>
      <c r="H52" s="315">
        <v>0.7010271900706178</v>
      </c>
      <c r="I52" s="306">
        <v>602.6000024974346</v>
      </c>
      <c r="J52" s="304">
        <v>0.7282175233359274</v>
      </c>
      <c r="K52" s="21" t="s">
        <v>650</v>
      </c>
    </row>
    <row r="53" spans="1:11" ht="12.75">
      <c r="A53" s="21" t="s">
        <v>96</v>
      </c>
      <c r="B53" s="5" t="s">
        <v>97</v>
      </c>
      <c r="C53" s="6" t="s">
        <v>98</v>
      </c>
      <c r="D53" s="17" t="s">
        <v>99</v>
      </c>
      <c r="E53" s="10">
        <v>169</v>
      </c>
      <c r="F53" s="306">
        <v>1591.800006300211</v>
      </c>
      <c r="G53" s="306">
        <v>1591.800006300211</v>
      </c>
      <c r="H53" s="315">
        <v>1</v>
      </c>
      <c r="I53" s="306">
        <v>1354.800007596612</v>
      </c>
      <c r="J53" s="304">
        <v>0.8511119501409895</v>
      </c>
      <c r="K53" s="21" t="s">
        <v>651</v>
      </c>
    </row>
    <row r="54" spans="1:11" ht="12.75">
      <c r="A54" s="21" t="s">
        <v>101</v>
      </c>
      <c r="B54" s="5" t="s">
        <v>102</v>
      </c>
      <c r="C54" s="6" t="s">
        <v>45</v>
      </c>
      <c r="D54" s="17" t="s">
        <v>103</v>
      </c>
      <c r="E54" s="10">
        <v>180</v>
      </c>
      <c r="F54" s="306">
        <v>2009.0000070855021</v>
      </c>
      <c r="G54" s="306">
        <v>1312.100001886487</v>
      </c>
      <c r="H54" s="315">
        <v>0.6531109991333338</v>
      </c>
      <c r="I54" s="306">
        <v>1999.9000070691109</v>
      </c>
      <c r="J54" s="304">
        <v>0.9954703832830778</v>
      </c>
      <c r="K54" s="21" t="s">
        <v>652</v>
      </c>
    </row>
    <row r="55" spans="1:11" ht="12.75">
      <c r="A55" s="21" t="s">
        <v>107</v>
      </c>
      <c r="B55" s="5" t="s">
        <v>108</v>
      </c>
      <c r="C55" s="6" t="s">
        <v>92</v>
      </c>
      <c r="D55" s="17" t="s">
        <v>109</v>
      </c>
      <c r="E55" s="10">
        <v>181</v>
      </c>
      <c r="F55" s="306">
        <v>1058.1999983116984</v>
      </c>
      <c r="G55" s="306">
        <v>334.9999975785613</v>
      </c>
      <c r="H55" s="315">
        <v>0.31657531479213374</v>
      </c>
      <c r="I55" s="306">
        <v>930.1999989375472</v>
      </c>
      <c r="J55" s="304">
        <v>0.8790398794383213</v>
      </c>
      <c r="K55" s="21" t="s">
        <v>653</v>
      </c>
    </row>
    <row r="56" spans="1:11" ht="12.75">
      <c r="A56" s="21" t="s">
        <v>218</v>
      </c>
      <c r="B56" s="5" t="s">
        <v>219</v>
      </c>
      <c r="C56" s="6" t="s">
        <v>92</v>
      </c>
      <c r="D56" s="17" t="s">
        <v>220</v>
      </c>
      <c r="E56" s="7">
        <v>182</v>
      </c>
      <c r="F56" s="306">
        <v>355.70000141113997</v>
      </c>
      <c r="G56" s="306">
        <v>279.0000015422702</v>
      </c>
      <c r="H56" s="315">
        <v>0.7843688513787348</v>
      </c>
      <c r="I56" s="306">
        <v>224.8000014871359</v>
      </c>
      <c r="J56" s="304">
        <v>0.6319932544146892</v>
      </c>
      <c r="K56" s="21" t="s">
        <v>654</v>
      </c>
    </row>
    <row r="57" spans="1:11" ht="12.75">
      <c r="A57" s="21" t="s">
        <v>184</v>
      </c>
      <c r="B57" s="5" t="s">
        <v>92</v>
      </c>
      <c r="C57" s="6" t="s">
        <v>97</v>
      </c>
      <c r="D57" s="17" t="s">
        <v>185</v>
      </c>
      <c r="E57" s="6">
        <v>183</v>
      </c>
      <c r="F57" s="306">
        <v>362.8999978080392</v>
      </c>
      <c r="G57" s="306">
        <v>342.7999978363514</v>
      </c>
      <c r="H57" s="315">
        <v>0.9446128407465024</v>
      </c>
      <c r="I57" s="306">
        <v>231.79999697953463</v>
      </c>
      <c r="J57" s="304">
        <v>0.6387434510323374</v>
      </c>
      <c r="K57" s="21" t="s">
        <v>655</v>
      </c>
    </row>
    <row r="58" spans="1:11" ht="12.75">
      <c r="A58" s="21" t="s">
        <v>221</v>
      </c>
      <c r="B58" s="5" t="s">
        <v>222</v>
      </c>
      <c r="C58" s="6" t="s">
        <v>102</v>
      </c>
      <c r="D58" s="17" t="s">
        <v>223</v>
      </c>
      <c r="E58" s="7">
        <v>186</v>
      </c>
      <c r="F58" s="306">
        <v>153.39999931305647</v>
      </c>
      <c r="G58" s="306">
        <v>69.89999953657389</v>
      </c>
      <c r="H58" s="315">
        <v>0.4556714462163914</v>
      </c>
      <c r="I58" s="306">
        <v>129.89999920874834</v>
      </c>
      <c r="J58" s="304">
        <v>0.8468057352702482</v>
      </c>
      <c r="K58" s="21" t="s">
        <v>656</v>
      </c>
    </row>
    <row r="59" spans="1:11" ht="12.75">
      <c r="A59" s="21" t="s">
        <v>241</v>
      </c>
      <c r="B59" s="5" t="s">
        <v>216</v>
      </c>
      <c r="C59" s="6" t="s">
        <v>92</v>
      </c>
      <c r="D59" s="17" t="s">
        <v>242</v>
      </c>
      <c r="E59" s="6">
        <v>187</v>
      </c>
      <c r="F59" s="306">
        <v>354.30000038444996</v>
      </c>
      <c r="G59" s="306">
        <v>276.69999971985817</v>
      </c>
      <c r="H59" s="315">
        <v>0.7809765718871345</v>
      </c>
      <c r="I59" s="306">
        <v>196.79999946057796</v>
      </c>
      <c r="J59" s="304">
        <v>0.5554614712024579</v>
      </c>
      <c r="K59" s="21" t="s">
        <v>657</v>
      </c>
    </row>
    <row r="60" spans="1:11" ht="12.75">
      <c r="A60" s="21" t="s">
        <v>279</v>
      </c>
      <c r="B60" s="5" t="s">
        <v>280</v>
      </c>
      <c r="C60" s="6" t="s">
        <v>281</v>
      </c>
      <c r="D60" s="17" t="s">
        <v>282</v>
      </c>
      <c r="E60" s="7">
        <v>204</v>
      </c>
      <c r="F60" s="306">
        <v>80.29999986290932</v>
      </c>
      <c r="G60" s="306">
        <v>0</v>
      </c>
      <c r="H60" s="315">
        <v>0</v>
      </c>
      <c r="I60" s="306">
        <v>0</v>
      </c>
      <c r="J60" s="304">
        <v>0</v>
      </c>
      <c r="K60" s="21" t="s">
        <v>658</v>
      </c>
    </row>
    <row r="61" spans="1:11" ht="12.75">
      <c r="A61" s="21" t="s">
        <v>297</v>
      </c>
      <c r="B61" s="5" t="s">
        <v>273</v>
      </c>
      <c r="C61" s="6" t="s">
        <v>298</v>
      </c>
      <c r="D61" s="17" t="s">
        <v>299</v>
      </c>
      <c r="E61" s="6">
        <v>209</v>
      </c>
      <c r="F61" s="306">
        <v>67.30000047385693</v>
      </c>
      <c r="G61" s="306">
        <v>7.399999961256981</v>
      </c>
      <c r="H61" s="315">
        <v>0.10995542212710019</v>
      </c>
      <c r="I61" s="306">
        <v>22.400000140070915</v>
      </c>
      <c r="J61" s="304">
        <v>0.3328380383707772</v>
      </c>
      <c r="K61" s="21" t="s">
        <v>659</v>
      </c>
    </row>
    <row r="62" spans="1:11" ht="12.75">
      <c r="A62" s="21" t="s">
        <v>295</v>
      </c>
      <c r="B62" s="5" t="s">
        <v>120</v>
      </c>
      <c r="C62" s="6" t="s">
        <v>213</v>
      </c>
      <c r="D62" s="17" t="s">
        <v>296</v>
      </c>
      <c r="E62" s="10">
        <v>221</v>
      </c>
      <c r="F62" s="306">
        <v>583.7999989613891</v>
      </c>
      <c r="G62" s="306">
        <v>496.79999862611294</v>
      </c>
      <c r="H62" s="315">
        <v>0.8509763609283081</v>
      </c>
      <c r="I62" s="306">
        <v>216.20000068843365</v>
      </c>
      <c r="J62" s="304">
        <v>0.3703323074221734</v>
      </c>
      <c r="K62" s="21" t="s">
        <v>660</v>
      </c>
    </row>
    <row r="63" spans="1:11" ht="12.75">
      <c r="A63" s="21" t="s">
        <v>283</v>
      </c>
      <c r="B63" s="5" t="s">
        <v>213</v>
      </c>
      <c r="C63" s="6" t="s">
        <v>119</v>
      </c>
      <c r="D63" s="17" t="s">
        <v>284</v>
      </c>
      <c r="E63" s="7">
        <v>222</v>
      </c>
      <c r="F63" s="306">
        <v>284.8000020906329</v>
      </c>
      <c r="G63" s="306">
        <v>230.3000018298626</v>
      </c>
      <c r="H63" s="315">
        <v>0.8086376409385468</v>
      </c>
      <c r="I63" s="306">
        <v>57.900000393390656</v>
      </c>
      <c r="J63" s="304">
        <v>0.20330056168667068</v>
      </c>
      <c r="K63" s="21" t="s">
        <v>661</v>
      </c>
    </row>
    <row r="64" spans="1:11" ht="12.75">
      <c r="A64" s="21" t="s">
        <v>306</v>
      </c>
      <c r="B64" s="5" t="s">
        <v>120</v>
      </c>
      <c r="C64" s="6" t="s">
        <v>307</v>
      </c>
      <c r="D64" s="17" t="s">
        <v>308</v>
      </c>
      <c r="E64" s="6">
        <v>224</v>
      </c>
      <c r="F64" s="306">
        <v>49.500000178813934</v>
      </c>
      <c r="G64" s="306">
        <v>20.2000000923872</v>
      </c>
      <c r="H64" s="315">
        <v>0.40808080847306394</v>
      </c>
      <c r="I64" s="306">
        <v>7.299999967217445</v>
      </c>
      <c r="J64" s="304">
        <v>0.14747474627973547</v>
      </c>
      <c r="K64" s="21" t="s">
        <v>662</v>
      </c>
    </row>
    <row r="65" spans="1:11" ht="12.75">
      <c r="A65" s="21" t="s">
        <v>302</v>
      </c>
      <c r="B65" s="5" t="s">
        <v>213</v>
      </c>
      <c r="C65" s="6" t="s">
        <v>210</v>
      </c>
      <c r="D65" s="17" t="s">
        <v>303</v>
      </c>
      <c r="E65" s="6">
        <v>233</v>
      </c>
      <c r="F65" s="306">
        <v>377.7000025883317</v>
      </c>
      <c r="G65" s="306">
        <v>161.50000172108412</v>
      </c>
      <c r="H65" s="315">
        <v>0.42758803445682936</v>
      </c>
      <c r="I65" s="306">
        <v>0</v>
      </c>
      <c r="J65" s="304">
        <v>0</v>
      </c>
      <c r="K65" s="21" t="s">
        <v>663</v>
      </c>
    </row>
    <row r="66" spans="1:11" ht="12.75">
      <c r="A66" s="21" t="s">
        <v>209</v>
      </c>
      <c r="B66" s="5" t="s">
        <v>210</v>
      </c>
      <c r="C66" s="6" t="s">
        <v>119</v>
      </c>
      <c r="D66" s="17" t="s">
        <v>211</v>
      </c>
      <c r="E66" s="7">
        <v>233</v>
      </c>
      <c r="F66" s="306">
        <v>377.7000025883317</v>
      </c>
      <c r="G66" s="306">
        <v>161.50000172108412</v>
      </c>
      <c r="H66" s="315">
        <v>0.42758803445682936</v>
      </c>
      <c r="I66" s="306">
        <v>0</v>
      </c>
      <c r="J66" s="304">
        <v>0</v>
      </c>
      <c r="K66" s="21" t="s">
        <v>663</v>
      </c>
    </row>
    <row r="67" spans="1:11" ht="12.75">
      <c r="A67" s="21" t="s">
        <v>277</v>
      </c>
      <c r="B67" s="5" t="s">
        <v>189</v>
      </c>
      <c r="C67" s="6" t="s">
        <v>233</v>
      </c>
      <c r="D67" s="17" t="s">
        <v>278</v>
      </c>
      <c r="E67" s="10">
        <v>234</v>
      </c>
      <c r="F67" s="306">
        <v>568.8999978974462</v>
      </c>
      <c r="G67" s="306">
        <v>52.70000013709068</v>
      </c>
      <c r="H67" s="315">
        <v>0.09263491005776159</v>
      </c>
      <c r="I67" s="306">
        <v>0</v>
      </c>
      <c r="J67" s="304">
        <v>0</v>
      </c>
      <c r="K67" s="21" t="s">
        <v>664</v>
      </c>
    </row>
    <row r="68" spans="1:11" ht="12.75">
      <c r="A68" s="21" t="s">
        <v>291</v>
      </c>
      <c r="B68" s="5" t="s">
        <v>239</v>
      </c>
      <c r="C68" s="6" t="s">
        <v>233</v>
      </c>
      <c r="D68" s="17" t="s">
        <v>292</v>
      </c>
      <c r="E68" s="7">
        <v>236</v>
      </c>
      <c r="F68" s="306">
        <v>187.799999833107</v>
      </c>
      <c r="G68" s="306">
        <v>63.39999982714653</v>
      </c>
      <c r="H68" s="315">
        <v>0.3375931836181495</v>
      </c>
      <c r="I68" s="306">
        <v>32.899999752640724</v>
      </c>
      <c r="J68" s="304">
        <v>0.17518636731564485</v>
      </c>
      <c r="K68" s="21" t="s">
        <v>665</v>
      </c>
    </row>
    <row r="69" spans="1:11" ht="12.75">
      <c r="A69" s="21" t="s">
        <v>288</v>
      </c>
      <c r="B69" s="5" t="s">
        <v>289</v>
      </c>
      <c r="C69" s="6" t="s">
        <v>233</v>
      </c>
      <c r="D69" s="17" t="s">
        <v>290</v>
      </c>
      <c r="E69" s="7">
        <v>238</v>
      </c>
      <c r="F69" s="306">
        <v>315.60000059753656</v>
      </c>
      <c r="G69" s="306">
        <v>0</v>
      </c>
      <c r="H69" s="315">
        <v>0</v>
      </c>
      <c r="I69" s="306">
        <v>72.80000080168247</v>
      </c>
      <c r="J69" s="304">
        <v>0.2306717384786048</v>
      </c>
      <c r="K69" s="21" t="s">
        <v>666</v>
      </c>
    </row>
    <row r="70" spans="1:11" ht="12.75">
      <c r="A70" s="21" t="s">
        <v>161</v>
      </c>
      <c r="B70" s="5" t="s">
        <v>119</v>
      </c>
      <c r="C70" s="6" t="s">
        <v>98</v>
      </c>
      <c r="D70" s="17" t="s">
        <v>162</v>
      </c>
      <c r="E70" s="10">
        <v>240</v>
      </c>
      <c r="F70" s="306">
        <v>881.2999953106046</v>
      </c>
      <c r="G70" s="306">
        <v>690.8999961391091</v>
      </c>
      <c r="H70" s="315">
        <v>0.7839555200446915</v>
      </c>
      <c r="I70" s="306">
        <v>294.39999993145466</v>
      </c>
      <c r="J70" s="304">
        <v>0.33405197038234025</v>
      </c>
      <c r="K70" s="21" t="s">
        <v>667</v>
      </c>
    </row>
    <row r="71" spans="1:11" ht="12.75">
      <c r="A71" s="21" t="s">
        <v>232</v>
      </c>
      <c r="B71" s="5" t="s">
        <v>233</v>
      </c>
      <c r="C71" s="6" t="s">
        <v>234</v>
      </c>
      <c r="D71" s="17" t="s">
        <v>235</v>
      </c>
      <c r="E71" s="10">
        <v>245</v>
      </c>
      <c r="F71" s="306">
        <v>1429.000000551343</v>
      </c>
      <c r="G71" s="306">
        <v>877.0999975204468</v>
      </c>
      <c r="H71" s="315">
        <v>0.6137858622687475</v>
      </c>
      <c r="I71" s="306">
        <v>204.2000011652708</v>
      </c>
      <c r="J71" s="304">
        <v>0.14289713162105352</v>
      </c>
      <c r="K71" s="21" t="s">
        <v>668</v>
      </c>
    </row>
    <row r="72" spans="1:11" ht="12.75">
      <c r="A72" s="21" t="s">
        <v>300</v>
      </c>
      <c r="B72" s="5" t="s">
        <v>213</v>
      </c>
      <c r="C72" s="6" t="s">
        <v>119</v>
      </c>
      <c r="D72" s="17" t="s">
        <v>301</v>
      </c>
      <c r="E72" s="6">
        <v>246</v>
      </c>
      <c r="F72" s="306">
        <v>93.50000020116568</v>
      </c>
      <c r="G72" s="306">
        <v>77.60000003129244</v>
      </c>
      <c r="H72" s="315">
        <v>0.8299465226132159</v>
      </c>
      <c r="I72" s="306">
        <v>34.199999913573265</v>
      </c>
      <c r="J72" s="304">
        <v>0.3657753993582012</v>
      </c>
      <c r="K72" s="21" t="s">
        <v>669</v>
      </c>
    </row>
    <row r="73" spans="1:11" ht="12.75">
      <c r="A73" s="21" t="s">
        <v>285</v>
      </c>
      <c r="B73" s="5" t="s">
        <v>286</v>
      </c>
      <c r="C73" s="6" t="s">
        <v>233</v>
      </c>
      <c r="D73" s="17" t="s">
        <v>287</v>
      </c>
      <c r="E73" s="7">
        <v>248</v>
      </c>
      <c r="F73" s="306">
        <v>359.9000001102686</v>
      </c>
      <c r="G73" s="306">
        <v>292.2999994456768</v>
      </c>
      <c r="H73" s="315">
        <v>0.8121700454462906</v>
      </c>
      <c r="I73" s="306">
        <v>3.6000000089406967</v>
      </c>
      <c r="J73" s="304">
        <v>0.010002778571374561</v>
      </c>
      <c r="K73" s="21" t="s">
        <v>670</v>
      </c>
    </row>
    <row r="74" spans="1:11" ht="12.75">
      <c r="A74" s="21" t="s">
        <v>304</v>
      </c>
      <c r="B74" s="5" t="s">
        <v>210</v>
      </c>
      <c r="C74" s="6" t="s">
        <v>119</v>
      </c>
      <c r="D74" s="17" t="s">
        <v>305</v>
      </c>
      <c r="E74" s="6">
        <v>249</v>
      </c>
      <c r="F74" s="306">
        <v>240.30000022798777</v>
      </c>
      <c r="G74" s="306">
        <v>73.80000011622906</v>
      </c>
      <c r="H74" s="315">
        <v>0.30711610506121656</v>
      </c>
      <c r="I74" s="306">
        <v>0</v>
      </c>
      <c r="J74" s="304">
        <v>0</v>
      </c>
      <c r="K74" s="21" t="s">
        <v>671</v>
      </c>
    </row>
    <row r="75" spans="1:11" ht="12.75">
      <c r="A75" s="21" t="s">
        <v>309</v>
      </c>
      <c r="B75" s="5" t="s">
        <v>310</v>
      </c>
      <c r="C75" s="6" t="s">
        <v>120</v>
      </c>
      <c r="D75" s="17" t="s">
        <v>311</v>
      </c>
      <c r="E75" s="6">
        <v>251</v>
      </c>
      <c r="F75" s="306">
        <v>125.30000016093254</v>
      </c>
      <c r="G75" s="306">
        <v>16.30000038444996</v>
      </c>
      <c r="H75" s="315">
        <v>0.13008779220682043</v>
      </c>
      <c r="I75" s="306">
        <v>0</v>
      </c>
      <c r="J75" s="304">
        <v>0</v>
      </c>
      <c r="K75" s="21" t="s">
        <v>672</v>
      </c>
    </row>
    <row r="76" spans="1:11" ht="12.75">
      <c r="A76" s="21" t="s">
        <v>253</v>
      </c>
      <c r="B76" s="5" t="s">
        <v>239</v>
      </c>
      <c r="C76" s="6" t="s">
        <v>4</v>
      </c>
      <c r="D76" s="17" t="s">
        <v>254</v>
      </c>
      <c r="E76" s="10">
        <v>255</v>
      </c>
      <c r="F76" s="306">
        <v>1634.299992159009</v>
      </c>
      <c r="G76" s="306">
        <v>0</v>
      </c>
      <c r="H76" s="315">
        <v>0</v>
      </c>
      <c r="I76" s="306">
        <v>42.700000286102295</v>
      </c>
      <c r="J76" s="304">
        <v>0.026127394291725486</v>
      </c>
      <c r="K76" s="21" t="s">
        <v>673</v>
      </c>
    </row>
    <row r="77" spans="1:11" ht="12.75">
      <c r="A77" s="271" t="s">
        <v>275</v>
      </c>
      <c r="B77" s="5" t="s">
        <v>273</v>
      </c>
      <c r="C77" s="6" t="s">
        <v>210</v>
      </c>
      <c r="D77" s="17" t="s">
        <v>276</v>
      </c>
      <c r="E77" s="10">
        <v>269</v>
      </c>
      <c r="F77" s="306">
        <v>196.6000001206994</v>
      </c>
      <c r="G77" s="306">
        <v>160.29999961704016</v>
      </c>
      <c r="H77" s="315">
        <v>0.8153611369207862</v>
      </c>
      <c r="I77" s="306">
        <v>0</v>
      </c>
      <c r="J77" s="304">
        <v>0</v>
      </c>
      <c r="K77" s="21" t="s">
        <v>674</v>
      </c>
    </row>
    <row r="78" spans="1:11" ht="12.75">
      <c r="A78" s="21" t="s">
        <v>182</v>
      </c>
      <c r="B78" s="5" t="s">
        <v>21</v>
      </c>
      <c r="C78" s="6" t="s">
        <v>119</v>
      </c>
      <c r="D78" s="17" t="s">
        <v>183</v>
      </c>
      <c r="E78" s="10">
        <v>271</v>
      </c>
      <c r="F78" s="306">
        <v>2181.000005863607</v>
      </c>
      <c r="G78" s="306">
        <v>1795.3000049442053</v>
      </c>
      <c r="H78" s="315">
        <v>0.8231545163308348</v>
      </c>
      <c r="I78" s="306">
        <v>886.6999953985214</v>
      </c>
      <c r="J78" s="304">
        <v>0.4065566221983646</v>
      </c>
      <c r="K78" s="21" t="s">
        <v>675</v>
      </c>
    </row>
    <row r="79" spans="1:11" ht="12.75">
      <c r="A79" s="21" t="s">
        <v>272</v>
      </c>
      <c r="B79" s="5" t="s">
        <v>273</v>
      </c>
      <c r="C79" s="6" t="s">
        <v>213</v>
      </c>
      <c r="D79" s="17" t="s">
        <v>274</v>
      </c>
      <c r="E79" s="10">
        <v>271</v>
      </c>
      <c r="F79" s="306">
        <v>2181.000005863607</v>
      </c>
      <c r="G79" s="306">
        <v>1795.3000049442053</v>
      </c>
      <c r="H79" s="315">
        <v>0.8231545163308348</v>
      </c>
      <c r="I79" s="306">
        <v>886.6999953985214</v>
      </c>
      <c r="J79" s="304">
        <v>0.4065566221983646</v>
      </c>
      <c r="K79" s="21" t="s">
        <v>675</v>
      </c>
    </row>
    <row r="80" spans="1:11" ht="12.75">
      <c r="A80" s="21" t="s">
        <v>212</v>
      </c>
      <c r="B80" s="5" t="s">
        <v>119</v>
      </c>
      <c r="C80" s="6" t="s">
        <v>213</v>
      </c>
      <c r="D80" s="17" t="s">
        <v>214</v>
      </c>
      <c r="E80" s="10">
        <v>271</v>
      </c>
      <c r="F80" s="306">
        <v>2181.000005863607</v>
      </c>
      <c r="G80" s="306">
        <v>1795.3000049442053</v>
      </c>
      <c r="H80" s="315">
        <v>0.8231545163308348</v>
      </c>
      <c r="I80" s="306">
        <v>886.6999953985214</v>
      </c>
      <c r="J80" s="304">
        <v>0.4065566221983646</v>
      </c>
      <c r="K80" s="21" t="s">
        <v>675</v>
      </c>
    </row>
    <row r="81" spans="1:11" ht="12.75">
      <c r="A81" s="21" t="s">
        <v>203</v>
      </c>
      <c r="B81" s="5" t="s">
        <v>129</v>
      </c>
      <c r="C81" s="6" t="s">
        <v>105</v>
      </c>
      <c r="D81" s="17" t="s">
        <v>204</v>
      </c>
      <c r="E81" s="6">
        <v>330</v>
      </c>
      <c r="F81" s="306">
        <v>146.70000012218952</v>
      </c>
      <c r="G81" s="306">
        <v>71.50000009685755</v>
      </c>
      <c r="H81" s="315">
        <v>0.4873892299748036</v>
      </c>
      <c r="I81" s="306">
        <v>47.399999894201756</v>
      </c>
      <c r="J81" s="304">
        <v>0.32310838346776616</v>
      </c>
      <c r="K81" s="21" t="s">
        <v>676</v>
      </c>
    </row>
    <row r="82" spans="1:11" ht="12.75">
      <c r="A82" s="21" t="s">
        <v>224</v>
      </c>
      <c r="B82" s="5" t="s">
        <v>189</v>
      </c>
      <c r="C82" s="6" t="s">
        <v>225</v>
      </c>
      <c r="D82" s="17" t="s">
        <v>226</v>
      </c>
      <c r="E82" s="10">
        <v>331</v>
      </c>
      <c r="F82" s="306">
        <v>482.1000000014901</v>
      </c>
      <c r="G82" s="306">
        <v>154.00000100582838</v>
      </c>
      <c r="H82" s="315">
        <v>0.31943580378625264</v>
      </c>
      <c r="I82" s="306">
        <v>98.60000023245811</v>
      </c>
      <c r="J82" s="304">
        <v>0.204521883908221</v>
      </c>
      <c r="K82" s="21" t="s">
        <v>677</v>
      </c>
    </row>
    <row r="83" spans="1:11" ht="12.75">
      <c r="A83" s="21" t="s">
        <v>128</v>
      </c>
      <c r="B83" s="5" t="s">
        <v>129</v>
      </c>
      <c r="C83" s="6" t="s">
        <v>86</v>
      </c>
      <c r="D83" s="17" t="s">
        <v>130</v>
      </c>
      <c r="E83" s="7">
        <v>345</v>
      </c>
      <c r="F83" s="306">
        <v>614.8999998867512</v>
      </c>
      <c r="G83" s="306">
        <v>356.599999114871</v>
      </c>
      <c r="H83" s="315">
        <v>0.5799316948781064</v>
      </c>
      <c r="I83" s="306">
        <v>410.0999987721443</v>
      </c>
      <c r="J83" s="304">
        <v>0.6669377115753362</v>
      </c>
      <c r="K83" s="21" t="s">
        <v>678</v>
      </c>
    </row>
    <row r="84" spans="1:11" ht="12.75">
      <c r="A84" s="21" t="s">
        <v>178</v>
      </c>
      <c r="B84" s="5" t="s">
        <v>66</v>
      </c>
      <c r="C84" s="6" t="s">
        <v>86</v>
      </c>
      <c r="D84" s="17" t="s">
        <v>179</v>
      </c>
      <c r="E84" s="7">
        <v>346</v>
      </c>
      <c r="F84" s="306">
        <v>765.6000010594726</v>
      </c>
      <c r="G84" s="306">
        <v>715.900001861155</v>
      </c>
      <c r="H84" s="315">
        <v>0.9350835957033171</v>
      </c>
      <c r="I84" s="306">
        <v>323.90000143647194</v>
      </c>
      <c r="J84" s="304">
        <v>0.4230668769438926</v>
      </c>
      <c r="K84" s="21" t="s">
        <v>679</v>
      </c>
    </row>
    <row r="85" spans="1:11" ht="12.75">
      <c r="A85" s="21" t="s">
        <v>192</v>
      </c>
      <c r="B85" s="5" t="s">
        <v>193</v>
      </c>
      <c r="C85" s="6" t="s">
        <v>86</v>
      </c>
      <c r="D85" s="17" t="s">
        <v>194</v>
      </c>
      <c r="E85" s="7">
        <v>347</v>
      </c>
      <c r="F85" s="306">
        <v>625.7000007629395</v>
      </c>
      <c r="G85" s="306">
        <v>291.0000003054738</v>
      </c>
      <c r="H85" s="315">
        <v>0.46507911131636026</v>
      </c>
      <c r="I85" s="306">
        <v>207.30000019073486</v>
      </c>
      <c r="J85" s="304">
        <v>0.3313089338947838</v>
      </c>
      <c r="K85" s="21" t="s">
        <v>680</v>
      </c>
    </row>
    <row r="86" spans="1:11" ht="12.75">
      <c r="A86" s="21" t="s">
        <v>140</v>
      </c>
      <c r="B86" s="5" t="s">
        <v>141</v>
      </c>
      <c r="C86" s="6" t="s">
        <v>86</v>
      </c>
      <c r="D86" s="17" t="s">
        <v>142</v>
      </c>
      <c r="E86" s="7">
        <v>348</v>
      </c>
      <c r="F86" s="306">
        <v>645.8999958112836</v>
      </c>
      <c r="G86" s="306">
        <v>376.3999987989664</v>
      </c>
      <c r="H86" s="315">
        <v>0.5827527500231497</v>
      </c>
      <c r="I86" s="306">
        <v>279.8999983817339</v>
      </c>
      <c r="J86" s="304">
        <v>0.43334881591099117</v>
      </c>
      <c r="K86" s="21" t="s">
        <v>681</v>
      </c>
    </row>
    <row r="87" spans="1:11" ht="12.75">
      <c r="A87" s="21" t="s">
        <v>259</v>
      </c>
      <c r="B87" s="5" t="s">
        <v>225</v>
      </c>
      <c r="C87" s="6" t="s">
        <v>21</v>
      </c>
      <c r="D87" s="17" t="s">
        <v>260</v>
      </c>
      <c r="E87" s="6">
        <v>373</v>
      </c>
      <c r="F87" s="306">
        <v>412.6999984756112</v>
      </c>
      <c r="G87" s="306">
        <v>378.79999885708094</v>
      </c>
      <c r="H87" s="315">
        <v>0.9178580088593492</v>
      </c>
      <c r="I87" s="306">
        <v>215.80000022798777</v>
      </c>
      <c r="J87" s="304">
        <v>0.5228979913377456</v>
      </c>
      <c r="K87" s="21" t="s">
        <v>682</v>
      </c>
    </row>
    <row r="88" spans="1:11" ht="12.75">
      <c r="A88" s="21" t="s">
        <v>243</v>
      </c>
      <c r="B88" s="5" t="s">
        <v>244</v>
      </c>
      <c r="C88" s="6" t="s">
        <v>92</v>
      </c>
      <c r="D88" s="17" t="s">
        <v>245</v>
      </c>
      <c r="E88" s="6">
        <v>901</v>
      </c>
      <c r="F88" s="306" t="s">
        <v>579</v>
      </c>
      <c r="G88" s="306" t="s">
        <v>579</v>
      </c>
      <c r="H88" s="315">
        <v>0.9736842105263158</v>
      </c>
      <c r="I88" s="306" t="s">
        <v>579</v>
      </c>
      <c r="J88" s="304">
        <v>0.868421052631579</v>
      </c>
      <c r="K88" s="21" t="s">
        <v>683</v>
      </c>
    </row>
    <row r="89" spans="1:11" ht="12.75">
      <c r="A89" s="21" t="s">
        <v>215</v>
      </c>
      <c r="B89" s="5" t="s">
        <v>216</v>
      </c>
      <c r="C89" s="6" t="s">
        <v>92</v>
      </c>
      <c r="D89" s="17" t="s">
        <v>217</v>
      </c>
      <c r="E89" s="7">
        <v>903</v>
      </c>
      <c r="F89" s="306" t="s">
        <v>579</v>
      </c>
      <c r="G89" s="306" t="s">
        <v>579</v>
      </c>
      <c r="H89" s="315">
        <v>1</v>
      </c>
      <c r="I89" s="306" t="s">
        <v>579</v>
      </c>
      <c r="J89" s="304">
        <v>0.5740740740740741</v>
      </c>
      <c r="K89" s="21" t="s">
        <v>684</v>
      </c>
    </row>
    <row r="90" spans="1:11" ht="12.75">
      <c r="A90" s="21" t="s">
        <v>248</v>
      </c>
      <c r="B90" s="5" t="s">
        <v>132</v>
      </c>
      <c r="C90" s="6" t="s">
        <v>98</v>
      </c>
      <c r="D90" s="17" t="s">
        <v>249</v>
      </c>
      <c r="E90" s="6">
        <v>908</v>
      </c>
      <c r="F90" s="306" t="s">
        <v>579</v>
      </c>
      <c r="G90" s="306" t="s">
        <v>579</v>
      </c>
      <c r="H90" s="315">
        <v>0.8709677419354839</v>
      </c>
      <c r="I90" s="306" t="s">
        <v>579</v>
      </c>
      <c r="J90" s="304">
        <v>0.9032258064516129</v>
      </c>
      <c r="K90" s="21" t="s">
        <v>685</v>
      </c>
    </row>
    <row r="91" spans="1:11" ht="12.75">
      <c r="A91" s="21" t="s">
        <v>250</v>
      </c>
      <c r="B91" s="5" t="s">
        <v>251</v>
      </c>
      <c r="C91" s="6" t="s">
        <v>98</v>
      </c>
      <c r="D91" s="17" t="s">
        <v>252</v>
      </c>
      <c r="E91" s="6">
        <v>909</v>
      </c>
      <c r="F91" s="306" t="s">
        <v>579</v>
      </c>
      <c r="G91" s="306" t="s">
        <v>579</v>
      </c>
      <c r="H91" s="315">
        <v>0.8979591836734694</v>
      </c>
      <c r="I91" s="306" t="s">
        <v>579</v>
      </c>
      <c r="J91" s="304">
        <v>1</v>
      </c>
      <c r="K91" s="21" t="s">
        <v>686</v>
      </c>
    </row>
    <row r="92" spans="1:11" ht="12.75">
      <c r="A92" s="21" t="s">
        <v>320</v>
      </c>
      <c r="B92" s="5" t="s">
        <v>321</v>
      </c>
      <c r="C92" s="6" t="s">
        <v>102</v>
      </c>
      <c r="D92" s="17" t="s">
        <v>326</v>
      </c>
      <c r="E92" s="6">
        <v>917</v>
      </c>
      <c r="F92" s="306" t="s">
        <v>579</v>
      </c>
      <c r="G92" s="306" t="s">
        <v>579</v>
      </c>
      <c r="H92" s="315">
        <v>0.9</v>
      </c>
      <c r="I92" s="306" t="s">
        <v>579</v>
      </c>
      <c r="J92" s="304">
        <v>1</v>
      </c>
      <c r="K92" s="21" t="s">
        <v>687</v>
      </c>
    </row>
    <row r="93" spans="1:11" ht="12.75">
      <c r="A93" s="21" t="s">
        <v>238</v>
      </c>
      <c r="B93" s="5" t="s">
        <v>120</v>
      </c>
      <c r="C93" s="6" t="s">
        <v>239</v>
      </c>
      <c r="D93" s="17" t="s">
        <v>240</v>
      </c>
      <c r="E93" s="7">
        <v>930</v>
      </c>
      <c r="F93" s="306" t="s">
        <v>579</v>
      </c>
      <c r="G93" s="306" t="s">
        <v>579</v>
      </c>
      <c r="H93" s="315">
        <v>0.6470588235294118</v>
      </c>
      <c r="I93" s="306" t="s">
        <v>579</v>
      </c>
      <c r="J93" s="304">
        <v>0.17647058823529413</v>
      </c>
      <c r="K93" s="21" t="s">
        <v>688</v>
      </c>
    </row>
    <row r="94" spans="1:11" ht="12.75">
      <c r="A94" s="21" t="s">
        <v>312</v>
      </c>
      <c r="B94" s="5" t="s">
        <v>189</v>
      </c>
      <c r="C94" s="6" t="s">
        <v>239</v>
      </c>
      <c r="D94" s="17" t="s">
        <v>313</v>
      </c>
      <c r="E94" s="6">
        <v>935</v>
      </c>
      <c r="F94" s="306" t="s">
        <v>579</v>
      </c>
      <c r="G94" s="306" t="s">
        <v>579</v>
      </c>
      <c r="H94" s="315">
        <v>0</v>
      </c>
      <c r="I94" s="306" t="s">
        <v>579</v>
      </c>
      <c r="J94" s="304">
        <v>0.024096385542168676</v>
      </c>
      <c r="K94" s="21" t="s">
        <v>689</v>
      </c>
    </row>
    <row r="95" spans="1:11" ht="12.75">
      <c r="A95" s="21" t="s">
        <v>125</v>
      </c>
      <c r="B95" s="5" t="s">
        <v>45</v>
      </c>
      <c r="C95" s="6" t="s">
        <v>4</v>
      </c>
      <c r="D95" s="17" t="s">
        <v>126</v>
      </c>
      <c r="E95" s="7" t="s">
        <v>127</v>
      </c>
      <c r="F95" s="306">
        <v>757.099999897182</v>
      </c>
      <c r="G95" s="306">
        <v>521.8999996110797</v>
      </c>
      <c r="H95" s="315">
        <v>0.6893409056689425</v>
      </c>
      <c r="I95" s="306">
        <v>666.5999994128942</v>
      </c>
      <c r="J95" s="304">
        <v>0.8804649313213867</v>
      </c>
      <c r="K95" s="21" t="s">
        <v>690</v>
      </c>
    </row>
    <row r="96" spans="1:11" ht="12.75">
      <c r="A96" s="21" t="s">
        <v>173</v>
      </c>
      <c r="B96" s="5" t="s">
        <v>97</v>
      </c>
      <c r="C96" s="6" t="s">
        <v>45</v>
      </c>
      <c r="D96" s="17" t="s">
        <v>174</v>
      </c>
      <c r="E96" s="9" t="s">
        <v>175</v>
      </c>
      <c r="F96" s="306">
        <v>823.100007943809</v>
      </c>
      <c r="G96" s="306">
        <v>753.0000073984265</v>
      </c>
      <c r="H96" s="315">
        <v>0.9148341636874725</v>
      </c>
      <c r="I96" s="306">
        <v>735.5000072792172</v>
      </c>
      <c r="J96" s="304">
        <v>0.8935730776100637</v>
      </c>
      <c r="K96" s="21" t="s">
        <v>691</v>
      </c>
    </row>
    <row r="97" spans="1:11" ht="12.75">
      <c r="A97" s="21" t="s">
        <v>59</v>
      </c>
      <c r="B97" s="5" t="s">
        <v>45</v>
      </c>
      <c r="C97" s="6" t="s">
        <v>4</v>
      </c>
      <c r="D97" s="17" t="s">
        <v>60</v>
      </c>
      <c r="E97" s="7" t="s">
        <v>61</v>
      </c>
      <c r="F97" s="306">
        <v>1081.799998767674</v>
      </c>
      <c r="G97" s="306">
        <v>788.6000006049871</v>
      </c>
      <c r="H97" s="315">
        <v>0.7289702361835054</v>
      </c>
      <c r="I97" s="306">
        <v>986.1999986097217</v>
      </c>
      <c r="J97" s="304">
        <v>0.9116287666233551</v>
      </c>
      <c r="K97" s="21" t="s">
        <v>692</v>
      </c>
    </row>
    <row r="98" spans="1:11" ht="12.75">
      <c r="A98" s="21" t="s">
        <v>78</v>
      </c>
      <c r="B98" s="5" t="s">
        <v>79</v>
      </c>
      <c r="C98" s="6" t="s">
        <v>4</v>
      </c>
      <c r="D98" s="17" t="s">
        <v>80</v>
      </c>
      <c r="E98" s="7" t="s">
        <v>81</v>
      </c>
      <c r="F98" s="306">
        <v>874.200001873076</v>
      </c>
      <c r="G98" s="306">
        <v>874.200001873076</v>
      </c>
      <c r="H98" s="315">
        <v>1</v>
      </c>
      <c r="I98" s="306">
        <v>731.600003324449</v>
      </c>
      <c r="J98" s="304">
        <v>0.8368794346338483</v>
      </c>
      <c r="K98" s="21" t="s">
        <v>693</v>
      </c>
    </row>
    <row r="99" spans="1:11" ht="12.75">
      <c r="A99" s="21" t="s">
        <v>34</v>
      </c>
      <c r="B99" s="5" t="s">
        <v>35</v>
      </c>
      <c r="C99" s="6" t="s">
        <v>4</v>
      </c>
      <c r="D99" s="17" t="s">
        <v>36</v>
      </c>
      <c r="E99" s="8" t="s">
        <v>37</v>
      </c>
      <c r="F99" s="306">
        <v>1651.1000017374754</v>
      </c>
      <c r="G99" s="306">
        <v>613.6999996006489</v>
      </c>
      <c r="H99" s="315">
        <v>0.37169159890669484</v>
      </c>
      <c r="I99" s="306">
        <v>763.600001193583</v>
      </c>
      <c r="J99" s="304">
        <v>0.4624795593180523</v>
      </c>
      <c r="K99" s="21" t="s">
        <v>694</v>
      </c>
    </row>
    <row r="100" spans="1:11" ht="12.75">
      <c r="A100" s="21" t="s">
        <v>261</v>
      </c>
      <c r="B100" s="5" t="s">
        <v>233</v>
      </c>
      <c r="C100" s="6" t="s">
        <v>119</v>
      </c>
      <c r="D100" s="17" t="s">
        <v>262</v>
      </c>
      <c r="E100" s="8" t="s">
        <v>263</v>
      </c>
      <c r="F100" s="306">
        <v>526.0000017657876</v>
      </c>
      <c r="G100" s="306">
        <v>71.00000022351742</v>
      </c>
      <c r="H100" s="315">
        <v>0.13498098856496132</v>
      </c>
      <c r="I100" s="306">
        <v>0</v>
      </c>
      <c r="J100" s="304">
        <v>0</v>
      </c>
      <c r="K100" s="21" t="s">
        <v>695</v>
      </c>
    </row>
    <row r="101" spans="1:11" ht="12.75">
      <c r="A101" s="21" t="s">
        <v>16</v>
      </c>
      <c r="B101" s="5" t="s">
        <v>17</v>
      </c>
      <c r="C101" s="6" t="s">
        <v>4</v>
      </c>
      <c r="D101" s="17" t="s">
        <v>18</v>
      </c>
      <c r="E101" s="9" t="s">
        <v>19</v>
      </c>
      <c r="F101" s="306">
        <v>1113.5000007227063</v>
      </c>
      <c r="G101" s="306">
        <v>96.89999990165234</v>
      </c>
      <c r="H101" s="315">
        <v>0.08702290061855442</v>
      </c>
      <c r="I101" s="306">
        <v>464.8000011742115</v>
      </c>
      <c r="J101" s="304">
        <v>0.4174225423192973</v>
      </c>
      <c r="K101" s="21" t="s">
        <v>227</v>
      </c>
    </row>
    <row r="102" spans="1:11" ht="12.75">
      <c r="A102" s="21" t="s">
        <v>75</v>
      </c>
      <c r="B102" s="5" t="s">
        <v>73</v>
      </c>
      <c r="C102" s="6" t="s">
        <v>4</v>
      </c>
      <c r="D102" s="17" t="s">
        <v>76</v>
      </c>
      <c r="E102" s="8" t="s">
        <v>77</v>
      </c>
      <c r="F102" s="306">
        <v>548.3999992460012</v>
      </c>
      <c r="G102" s="306">
        <v>0</v>
      </c>
      <c r="H102" s="315">
        <v>0</v>
      </c>
      <c r="I102" s="306">
        <v>256.699999094009</v>
      </c>
      <c r="J102" s="304">
        <v>0.46808898513301883</v>
      </c>
      <c r="K102" s="21" t="s">
        <v>696</v>
      </c>
    </row>
    <row r="103" spans="1:11" ht="12.75">
      <c r="A103" s="21" t="s">
        <v>12</v>
      </c>
      <c r="B103" s="5" t="s">
        <v>13</v>
      </c>
      <c r="C103" s="6" t="s">
        <v>4</v>
      </c>
      <c r="D103" s="17" t="s">
        <v>14</v>
      </c>
      <c r="E103" s="8" t="s">
        <v>15</v>
      </c>
      <c r="F103" s="306">
        <v>2044.8999946117333</v>
      </c>
      <c r="G103" s="306">
        <v>1905.899994879961</v>
      </c>
      <c r="H103" s="315">
        <v>0.932026015894159</v>
      </c>
      <c r="I103" s="306">
        <v>1905.8999948799533</v>
      </c>
      <c r="J103" s="304">
        <v>0.9320260158941552</v>
      </c>
      <c r="K103" s="21" t="s">
        <v>697</v>
      </c>
    </row>
    <row r="104" spans="1:11" ht="12.75">
      <c r="A104" s="21" t="s">
        <v>88</v>
      </c>
      <c r="B104" s="5" t="s">
        <v>17</v>
      </c>
      <c r="C104" s="6" t="s">
        <v>21</v>
      </c>
      <c r="D104" s="17" t="s">
        <v>89</v>
      </c>
      <c r="E104" s="7" t="s">
        <v>90</v>
      </c>
      <c r="F104" s="306">
        <v>1496.099994853139</v>
      </c>
      <c r="G104" s="306">
        <v>640.4999958276749</v>
      </c>
      <c r="H104" s="315">
        <v>0.4281130927285031</v>
      </c>
      <c r="I104" s="306">
        <v>1346.699994109571</v>
      </c>
      <c r="J104" s="304">
        <v>0.9001403641083272</v>
      </c>
      <c r="K104" s="21" t="s">
        <v>283</v>
      </c>
    </row>
    <row r="105" spans="1:11" ht="12.75">
      <c r="A105" s="271" t="s">
        <v>188</v>
      </c>
      <c r="B105" s="5" t="s">
        <v>189</v>
      </c>
      <c r="C105" s="6" t="s">
        <v>21</v>
      </c>
      <c r="D105" s="17" t="s">
        <v>190</v>
      </c>
      <c r="E105" s="8" t="s">
        <v>191</v>
      </c>
      <c r="F105" s="306">
        <v>2020.8000042364001</v>
      </c>
      <c r="G105" s="306">
        <v>586.999999165535</v>
      </c>
      <c r="H105" s="315">
        <v>0.2904790171887122</v>
      </c>
      <c r="I105" s="306">
        <v>1184.9000016897917</v>
      </c>
      <c r="J105" s="304">
        <v>0.5863519394327842</v>
      </c>
      <c r="K105" s="21" t="s">
        <v>698</v>
      </c>
    </row>
    <row r="106" spans="1:11" ht="12.75">
      <c r="A106" s="21" t="s">
        <v>156</v>
      </c>
      <c r="B106" s="5" t="s">
        <v>3</v>
      </c>
      <c r="C106" s="6" t="s">
        <v>21</v>
      </c>
      <c r="D106" s="17" t="s">
        <v>157</v>
      </c>
      <c r="E106" s="8" t="s">
        <v>158</v>
      </c>
      <c r="F106" s="306">
        <v>2704.700010024011</v>
      </c>
      <c r="G106" s="306">
        <v>189.00000023841858</v>
      </c>
      <c r="H106" s="315">
        <v>0.06987835972121016</v>
      </c>
      <c r="I106" s="306">
        <v>672.9000097289681</v>
      </c>
      <c r="J106" s="304">
        <v>0.24878914749698783</v>
      </c>
      <c r="K106" s="21" t="s">
        <v>699</v>
      </c>
    </row>
    <row r="107" spans="1:11" ht="12.75">
      <c r="A107" s="21" t="s">
        <v>134</v>
      </c>
      <c r="B107" s="5" t="s">
        <v>135</v>
      </c>
      <c r="C107" s="6" t="s">
        <v>21</v>
      </c>
      <c r="D107" s="17" t="s">
        <v>136</v>
      </c>
      <c r="E107" s="8" t="s">
        <v>137</v>
      </c>
      <c r="F107" s="306">
        <v>3897.299992464476</v>
      </c>
      <c r="G107" s="306">
        <v>3517.399989873171</v>
      </c>
      <c r="H107" s="315">
        <v>0.9025222581464473</v>
      </c>
      <c r="I107" s="306">
        <v>2607.8999896347523</v>
      </c>
      <c r="J107" s="304">
        <v>0.6691555678744747</v>
      </c>
      <c r="K107" s="21" t="s">
        <v>700</v>
      </c>
    </row>
    <row r="108" spans="1:11" ht="12.75">
      <c r="A108" s="21" t="s">
        <v>62</v>
      </c>
      <c r="B108" s="5" t="s">
        <v>39</v>
      </c>
      <c r="C108" s="6" t="s">
        <v>4</v>
      </c>
      <c r="D108" s="17" t="s">
        <v>63</v>
      </c>
      <c r="E108" s="8" t="s">
        <v>64</v>
      </c>
      <c r="F108" s="306">
        <v>4756.500013001263</v>
      </c>
      <c r="G108" s="306">
        <v>4756.500013001263</v>
      </c>
      <c r="H108" s="315">
        <v>1</v>
      </c>
      <c r="I108" s="306">
        <v>3267.8000056818128</v>
      </c>
      <c r="J108" s="304">
        <v>0.6870177644801249</v>
      </c>
      <c r="K108" s="21" t="s">
        <v>269</v>
      </c>
    </row>
    <row r="109" spans="1:11" ht="12.75">
      <c r="A109" s="21" t="s">
        <v>25</v>
      </c>
      <c r="B109" s="5" t="s">
        <v>26</v>
      </c>
      <c r="C109" s="6" t="s">
        <v>4</v>
      </c>
      <c r="D109" s="17" t="s">
        <v>27</v>
      </c>
      <c r="E109" s="6" t="s">
        <v>28</v>
      </c>
      <c r="F109" s="306">
        <v>2404.7999983504415</v>
      </c>
      <c r="G109" s="306">
        <v>1961.199998818338</v>
      </c>
      <c r="H109" s="315">
        <v>0.8155355955437507</v>
      </c>
      <c r="I109" s="306">
        <v>2193.799998320639</v>
      </c>
      <c r="J109" s="304">
        <v>0.9122588156293511</v>
      </c>
      <c r="K109" s="21" t="s">
        <v>701</v>
      </c>
    </row>
    <row r="110" spans="1:11" ht="12.75">
      <c r="A110" s="21" t="s">
        <v>91</v>
      </c>
      <c r="B110" s="5" t="s">
        <v>92</v>
      </c>
      <c r="C110" s="6" t="s">
        <v>93</v>
      </c>
      <c r="D110" s="17" t="s">
        <v>94</v>
      </c>
      <c r="E110" s="8" t="s">
        <v>95</v>
      </c>
      <c r="F110" s="306" t="s">
        <v>579</v>
      </c>
      <c r="G110" s="306" t="s">
        <v>579</v>
      </c>
      <c r="H110" s="315">
        <v>1</v>
      </c>
      <c r="I110" s="306" t="s">
        <v>579</v>
      </c>
      <c r="J110" s="304">
        <v>0.84</v>
      </c>
      <c r="K110" s="21" t="s">
        <v>702</v>
      </c>
    </row>
    <row r="111" spans="1:11" ht="12.75">
      <c r="A111" s="21" t="s">
        <v>118</v>
      </c>
      <c r="B111" s="5" t="s">
        <v>119</v>
      </c>
      <c r="C111" s="6" t="s">
        <v>120</v>
      </c>
      <c r="D111" s="17" t="s">
        <v>121</v>
      </c>
      <c r="E111" s="8" t="s">
        <v>122</v>
      </c>
      <c r="F111" s="306">
        <v>912.2000035494566</v>
      </c>
      <c r="G111" s="306">
        <v>705.7000033184886</v>
      </c>
      <c r="H111" s="315">
        <v>0.7736242058458047</v>
      </c>
      <c r="I111" s="306">
        <v>68.00000063329935</v>
      </c>
      <c r="J111" s="304">
        <v>0.074545056312985</v>
      </c>
      <c r="K111" s="21" t="s">
        <v>703</v>
      </c>
    </row>
    <row r="112" spans="1:11" ht="12.75">
      <c r="A112" s="21" t="s">
        <v>255</v>
      </c>
      <c r="B112" s="5" t="s">
        <v>256</v>
      </c>
      <c r="C112" s="6" t="s">
        <v>4</v>
      </c>
      <c r="D112" s="17" t="s">
        <v>257</v>
      </c>
      <c r="E112" s="8" t="s">
        <v>258</v>
      </c>
      <c r="F112" s="306">
        <v>1980.7999999970198</v>
      </c>
      <c r="G112" s="306">
        <v>349.49999782443047</v>
      </c>
      <c r="H112" s="315">
        <v>0.1764438599681726</v>
      </c>
      <c r="I112" s="306">
        <v>1420.00000166893</v>
      </c>
      <c r="J112" s="304">
        <v>0.7168820686950054</v>
      </c>
      <c r="K112" s="21" t="s">
        <v>306</v>
      </c>
    </row>
    <row r="113" spans="1:11" ht="12.75">
      <c r="A113" s="21" t="s">
        <v>31</v>
      </c>
      <c r="B113" s="5" t="s">
        <v>3</v>
      </c>
      <c r="C113" s="6" t="s">
        <v>4</v>
      </c>
      <c r="D113" s="17" t="s">
        <v>32</v>
      </c>
      <c r="E113" s="8" t="s">
        <v>33</v>
      </c>
      <c r="F113" s="306">
        <v>2392.099992610514</v>
      </c>
      <c r="G113" s="306">
        <v>0</v>
      </c>
      <c r="H113" s="315">
        <v>0</v>
      </c>
      <c r="I113" s="306">
        <v>663.0000023841858</v>
      </c>
      <c r="J113" s="304">
        <v>0.2771623278425956</v>
      </c>
      <c r="K113" s="21" t="s">
        <v>78</v>
      </c>
    </row>
    <row r="114" spans="1:11" ht="12.75">
      <c r="A114" s="21" t="s">
        <v>65</v>
      </c>
      <c r="B114" s="5" t="s">
        <v>66</v>
      </c>
      <c r="C114" s="6" t="s">
        <v>4</v>
      </c>
      <c r="D114" s="17" t="s">
        <v>67</v>
      </c>
      <c r="E114" s="8" t="s">
        <v>68</v>
      </c>
      <c r="F114" s="306">
        <v>4534.099974244833</v>
      </c>
      <c r="G114" s="306">
        <v>2172.2999824881554</v>
      </c>
      <c r="H114" s="315">
        <v>0.47910279765058733</v>
      </c>
      <c r="I114" s="306">
        <v>1234.5000005736947</v>
      </c>
      <c r="J114" s="304">
        <v>0.27227013245981724</v>
      </c>
      <c r="K114" s="21" t="s">
        <v>704</v>
      </c>
    </row>
    <row r="115" spans="1:11" ht="13.5" thickBot="1">
      <c r="A115" s="21" t="s">
        <v>110</v>
      </c>
      <c r="B115" s="15" t="s">
        <v>98</v>
      </c>
      <c r="C115" s="16" t="s">
        <v>45</v>
      </c>
      <c r="D115" s="20" t="s">
        <v>111</v>
      </c>
      <c r="E115" s="272" t="s">
        <v>112</v>
      </c>
      <c r="F115" s="306">
        <v>1560.4000113084912</v>
      </c>
      <c r="G115" s="306">
        <v>1466.7000111564994</v>
      </c>
      <c r="H115" s="315">
        <v>0.9399512948776393</v>
      </c>
      <c r="I115" s="306">
        <v>1560.4000113084912</v>
      </c>
      <c r="J115" s="304">
        <v>1</v>
      </c>
      <c r="K115" s="21" t="s">
        <v>705</v>
      </c>
    </row>
    <row r="116" spans="5:10" ht="12.75">
      <c r="E116" s="261"/>
      <c r="F116" s="307"/>
      <c r="G116" s="307"/>
      <c r="H116" s="307"/>
      <c r="I116" s="308"/>
      <c r="J116" s="22"/>
    </row>
    <row r="117" spans="2:10" ht="13.5" thickBot="1">
      <c r="B117" s="378"/>
      <c r="C117" s="378"/>
      <c r="D117" s="378"/>
      <c r="I117" s="308"/>
      <c r="J117" s="22"/>
    </row>
    <row r="118" spans="9:10" ht="12.75">
      <c r="I118" s="310"/>
      <c r="J118" s="273"/>
    </row>
    <row r="119" spans="9:10" ht="12.75">
      <c r="I119" s="311"/>
      <c r="J119" s="40"/>
    </row>
    <row r="120" spans="2:10" ht="12.75">
      <c r="B120" s="267"/>
      <c r="C120" s="267"/>
      <c r="I120" s="312"/>
      <c r="J120" s="39"/>
    </row>
    <row r="121" spans="2:10" ht="13.5" thickBot="1">
      <c r="B121" s="267"/>
      <c r="C121" s="267"/>
      <c r="I121" s="313"/>
      <c r="J121" s="54"/>
    </row>
  </sheetData>
  <sheetProtection/>
  <mergeCells count="3">
    <mergeCell ref="B1:D1"/>
    <mergeCell ref="I1:J1"/>
    <mergeCell ref="B117:D117"/>
  </mergeCells>
  <printOptions/>
  <pageMargins left="0.75" right="0.75" top="1" bottom="1" header="0.5" footer="0.5"/>
  <pageSetup horizontalDpi="600" verticalDpi="600" orientation="portrait" scale="56" r:id="rId1"/>
  <headerFooter alignWithMargins="0">
    <oddHeader>&amp;CLow Income/Minority Percenages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6.421875" style="0" customWidth="1"/>
    <col min="3" max="3" width="14.8515625" style="0" customWidth="1"/>
    <col min="4" max="4" width="32.421875" style="0" customWidth="1"/>
    <col min="5" max="5" width="16.28125" style="50" customWidth="1"/>
    <col min="6" max="6" width="16.28125" style="53" customWidth="1"/>
    <col min="7" max="8" width="16.28125" style="50" customWidth="1"/>
    <col min="9" max="10" width="11.421875" style="79" customWidth="1"/>
    <col min="11" max="11" width="9.140625" style="79" customWidth="1"/>
  </cols>
  <sheetData>
    <row r="1" spans="2:11" ht="13.5" thickBot="1">
      <c r="B1" s="394" t="s">
        <v>6</v>
      </c>
      <c r="C1" s="395"/>
      <c r="D1" s="395"/>
      <c r="E1" s="396" t="s">
        <v>588</v>
      </c>
      <c r="F1" s="397"/>
      <c r="G1" s="397"/>
      <c r="H1" s="397"/>
      <c r="K1" s="243"/>
    </row>
    <row r="2" spans="1:11" s="2" customFormat="1" ht="26.25" thickBot="1">
      <c r="A2" s="270" t="s">
        <v>747</v>
      </c>
      <c r="B2" s="237" t="s">
        <v>327</v>
      </c>
      <c r="C2" s="238" t="s">
        <v>328</v>
      </c>
      <c r="D2" s="239" t="s">
        <v>329</v>
      </c>
      <c r="E2" s="240" t="s">
        <v>618</v>
      </c>
      <c r="F2" s="241" t="s">
        <v>0</v>
      </c>
      <c r="G2" s="240" t="s">
        <v>1</v>
      </c>
      <c r="H2" s="242" t="s">
        <v>2</v>
      </c>
      <c r="I2" s="244" t="s">
        <v>353</v>
      </c>
      <c r="J2" s="245" t="s">
        <v>354</v>
      </c>
      <c r="K2" s="218" t="s">
        <v>341</v>
      </c>
    </row>
    <row r="3" spans="1:11" ht="12.75">
      <c r="A3" t="s">
        <v>212</v>
      </c>
      <c r="B3" s="3" t="s">
        <v>119</v>
      </c>
      <c r="C3" s="4" t="s">
        <v>213</v>
      </c>
      <c r="D3" s="4" t="s">
        <v>214</v>
      </c>
      <c r="E3" s="47" t="s">
        <v>119</v>
      </c>
      <c r="F3" s="52" t="s">
        <v>213</v>
      </c>
      <c r="G3" s="47" t="s">
        <v>119</v>
      </c>
      <c r="H3" s="179"/>
      <c r="I3" s="57" t="str">
        <f aca="true" t="shared" si="0" ref="I3:I34">IF(E3="","No",IF(F3="","No","Yes"))</f>
        <v>Yes</v>
      </c>
      <c r="J3" s="246" t="str">
        <f aca="true" t="shared" si="1" ref="J3:J34">IF(H3="","No",IF(K3="","No","Yes"))</f>
        <v>No</v>
      </c>
      <c r="K3" s="167">
        <f aca="true" t="shared" si="2" ref="K3:K34">IF(E3="",0,IF(F3="",0,5)+IF(G3="",0,IF(H3="",0,5)))</f>
        <v>5</v>
      </c>
    </row>
    <row r="4" spans="1:11" ht="12.75">
      <c r="A4" t="s">
        <v>207</v>
      </c>
      <c r="B4" s="5" t="s">
        <v>3</v>
      </c>
      <c r="C4" s="6" t="s">
        <v>4</v>
      </c>
      <c r="D4" s="6" t="s">
        <v>208</v>
      </c>
      <c r="E4" s="42"/>
      <c r="F4" s="49"/>
      <c r="G4" s="42"/>
      <c r="H4" s="180"/>
      <c r="I4" s="38" t="str">
        <f t="shared" si="0"/>
        <v>No</v>
      </c>
      <c r="J4" s="25" t="str">
        <f t="shared" si="1"/>
        <v>No</v>
      </c>
      <c r="K4" s="167">
        <f t="shared" si="2"/>
        <v>0</v>
      </c>
    </row>
    <row r="5" spans="1:11" ht="12.75">
      <c r="A5" t="s">
        <v>118</v>
      </c>
      <c r="B5" s="5" t="s">
        <v>119</v>
      </c>
      <c r="C5" s="6" t="s">
        <v>120</v>
      </c>
      <c r="D5" s="6" t="s">
        <v>121</v>
      </c>
      <c r="E5" s="45" t="s">
        <v>119</v>
      </c>
      <c r="F5" s="49" t="s">
        <v>120</v>
      </c>
      <c r="G5" s="42" t="s">
        <v>119</v>
      </c>
      <c r="H5" s="181" t="s">
        <v>120</v>
      </c>
      <c r="I5" s="38" t="str">
        <f t="shared" si="0"/>
        <v>Yes</v>
      </c>
      <c r="J5" s="25" t="str">
        <f t="shared" si="1"/>
        <v>Yes</v>
      </c>
      <c r="K5" s="167">
        <f t="shared" si="2"/>
        <v>10</v>
      </c>
    </row>
    <row r="6" spans="1:11" ht="12.75">
      <c r="A6" t="s">
        <v>10</v>
      </c>
      <c r="B6" s="5" t="s">
        <v>11</v>
      </c>
      <c r="C6" s="6" t="s">
        <v>4</v>
      </c>
      <c r="D6" s="6" t="s">
        <v>9</v>
      </c>
      <c r="E6" s="45" t="s">
        <v>4</v>
      </c>
      <c r="F6" s="49" t="s">
        <v>11</v>
      </c>
      <c r="G6" s="42" t="s">
        <v>4</v>
      </c>
      <c r="H6" s="180"/>
      <c r="I6" s="38" t="str">
        <f t="shared" si="0"/>
        <v>Yes</v>
      </c>
      <c r="J6" s="25" t="str">
        <f t="shared" si="1"/>
        <v>No</v>
      </c>
      <c r="K6" s="167">
        <f t="shared" si="2"/>
        <v>5</v>
      </c>
    </row>
    <row r="7" spans="1:11" ht="12.75">
      <c r="A7" t="s">
        <v>161</v>
      </c>
      <c r="B7" s="5" t="s">
        <v>119</v>
      </c>
      <c r="C7" s="6" t="s">
        <v>98</v>
      </c>
      <c r="D7" s="6" t="s">
        <v>162</v>
      </c>
      <c r="E7" s="42" t="s">
        <v>98</v>
      </c>
      <c r="F7" s="48" t="s">
        <v>587</v>
      </c>
      <c r="G7" s="42"/>
      <c r="H7" s="181"/>
      <c r="I7" s="38" t="str">
        <f t="shared" si="0"/>
        <v>Yes</v>
      </c>
      <c r="J7" s="25" t="str">
        <f t="shared" si="1"/>
        <v>No</v>
      </c>
      <c r="K7" s="167">
        <f t="shared" si="2"/>
        <v>5</v>
      </c>
    </row>
    <row r="8" spans="1:11" ht="12.75">
      <c r="A8" t="s">
        <v>150</v>
      </c>
      <c r="B8" s="5" t="s">
        <v>151</v>
      </c>
      <c r="C8" s="6" t="s">
        <v>4</v>
      </c>
      <c r="D8" s="6" t="s">
        <v>152</v>
      </c>
      <c r="E8" s="45"/>
      <c r="F8" s="49"/>
      <c r="G8" s="45"/>
      <c r="H8" s="180"/>
      <c r="I8" s="38" t="str">
        <f t="shared" si="0"/>
        <v>No</v>
      </c>
      <c r="J8" s="25" t="str">
        <f t="shared" si="1"/>
        <v>No</v>
      </c>
      <c r="K8" s="167">
        <f t="shared" si="2"/>
        <v>0</v>
      </c>
    </row>
    <row r="9" spans="1:11" ht="12.75">
      <c r="A9" t="s">
        <v>44</v>
      </c>
      <c r="B9" s="5" t="s">
        <v>45</v>
      </c>
      <c r="C9" s="6" t="s">
        <v>4</v>
      </c>
      <c r="D9" s="6" t="s">
        <v>46</v>
      </c>
      <c r="E9" s="42" t="s">
        <v>45</v>
      </c>
      <c r="F9" s="49" t="s">
        <v>4</v>
      </c>
      <c r="G9" s="42" t="s">
        <v>45</v>
      </c>
      <c r="H9" s="180" t="s">
        <v>4</v>
      </c>
      <c r="I9" s="38" t="str">
        <f t="shared" si="0"/>
        <v>Yes</v>
      </c>
      <c r="J9" s="25" t="str">
        <f t="shared" si="1"/>
        <v>Yes</v>
      </c>
      <c r="K9" s="167">
        <f t="shared" si="2"/>
        <v>10</v>
      </c>
    </row>
    <row r="10" spans="1:11" ht="12.75">
      <c r="A10" t="s">
        <v>153</v>
      </c>
      <c r="B10" s="5" t="s">
        <v>154</v>
      </c>
      <c r="C10" s="6" t="s">
        <v>4</v>
      </c>
      <c r="D10" s="6" t="s">
        <v>155</v>
      </c>
      <c r="E10" s="45"/>
      <c r="F10" s="49"/>
      <c r="G10" s="45"/>
      <c r="H10" s="180"/>
      <c r="I10" s="38" t="str">
        <f t="shared" si="0"/>
        <v>No</v>
      </c>
      <c r="J10" s="25" t="str">
        <f t="shared" si="1"/>
        <v>No</v>
      </c>
      <c r="K10" s="167">
        <f t="shared" si="2"/>
        <v>0</v>
      </c>
    </row>
    <row r="11" spans="1:11" ht="25.5">
      <c r="A11" t="s">
        <v>47</v>
      </c>
      <c r="B11" s="5" t="s">
        <v>8</v>
      </c>
      <c r="C11" s="6" t="s">
        <v>48</v>
      </c>
      <c r="D11" s="11" t="s">
        <v>49</v>
      </c>
      <c r="E11" s="48" t="s">
        <v>8</v>
      </c>
      <c r="F11" s="48" t="s">
        <v>355</v>
      </c>
      <c r="G11" s="42" t="s">
        <v>8</v>
      </c>
      <c r="H11" s="181" t="s">
        <v>344</v>
      </c>
      <c r="I11" s="38" t="str">
        <f t="shared" si="0"/>
        <v>Yes</v>
      </c>
      <c r="J11" s="25" t="str">
        <f t="shared" si="1"/>
        <v>Yes</v>
      </c>
      <c r="K11" s="167">
        <f t="shared" si="2"/>
        <v>10</v>
      </c>
    </row>
    <row r="12" spans="1:11" ht="12.75">
      <c r="A12" t="s">
        <v>123</v>
      </c>
      <c r="B12" s="5" t="s">
        <v>48</v>
      </c>
      <c r="C12" s="6" t="s">
        <v>4</v>
      </c>
      <c r="D12" s="6" t="s">
        <v>124</v>
      </c>
      <c r="E12" s="45" t="s">
        <v>4</v>
      </c>
      <c r="F12" s="49" t="s">
        <v>343</v>
      </c>
      <c r="G12" s="45" t="s">
        <v>4</v>
      </c>
      <c r="H12" s="180"/>
      <c r="I12" s="38" t="str">
        <f t="shared" si="0"/>
        <v>Yes</v>
      </c>
      <c r="J12" s="25" t="str">
        <f t="shared" si="1"/>
        <v>No</v>
      </c>
      <c r="K12" s="167">
        <f t="shared" si="2"/>
        <v>5</v>
      </c>
    </row>
    <row r="13" spans="1:11" ht="12.75">
      <c r="A13" t="s">
        <v>29</v>
      </c>
      <c r="B13" s="5" t="s">
        <v>8</v>
      </c>
      <c r="C13" s="6" t="s">
        <v>4</v>
      </c>
      <c r="D13" s="6" t="s">
        <v>30</v>
      </c>
      <c r="E13" s="45"/>
      <c r="F13" s="49"/>
      <c r="G13" s="42"/>
      <c r="H13" s="180"/>
      <c r="I13" s="38" t="str">
        <f t="shared" si="0"/>
        <v>No</v>
      </c>
      <c r="J13" s="25" t="str">
        <f t="shared" si="1"/>
        <v>No</v>
      </c>
      <c r="K13" s="167">
        <f t="shared" si="2"/>
        <v>0</v>
      </c>
    </row>
    <row r="14" spans="1:11" ht="12.75">
      <c r="A14" t="s">
        <v>78</v>
      </c>
      <c r="B14" s="5" t="s">
        <v>79</v>
      </c>
      <c r="C14" s="6" t="s">
        <v>4</v>
      </c>
      <c r="D14" s="6" t="s">
        <v>80</v>
      </c>
      <c r="E14" s="45"/>
      <c r="F14" s="49"/>
      <c r="G14" s="42"/>
      <c r="H14" s="180"/>
      <c r="I14" s="38" t="str">
        <f t="shared" si="0"/>
        <v>No</v>
      </c>
      <c r="J14" s="25" t="str">
        <f t="shared" si="1"/>
        <v>No</v>
      </c>
      <c r="K14" s="167">
        <f t="shared" si="2"/>
        <v>0</v>
      </c>
    </row>
    <row r="15" spans="1:11" ht="12.75">
      <c r="A15" t="s">
        <v>7</v>
      </c>
      <c r="B15" s="5" t="s">
        <v>8</v>
      </c>
      <c r="C15" s="6" t="s">
        <v>4</v>
      </c>
      <c r="D15" s="6" t="s">
        <v>9</v>
      </c>
      <c r="E15" s="42" t="s">
        <v>4</v>
      </c>
      <c r="F15" s="42" t="s">
        <v>8</v>
      </c>
      <c r="G15" s="42" t="s">
        <v>4</v>
      </c>
      <c r="H15" s="181" t="s">
        <v>8</v>
      </c>
      <c r="I15" s="38" t="str">
        <f t="shared" si="0"/>
        <v>Yes</v>
      </c>
      <c r="J15" s="25" t="str">
        <f t="shared" si="1"/>
        <v>Yes</v>
      </c>
      <c r="K15" s="167">
        <f t="shared" si="2"/>
        <v>10</v>
      </c>
    </row>
    <row r="16" spans="1:11" ht="12.75">
      <c r="A16" t="s">
        <v>12</v>
      </c>
      <c r="B16" s="5" t="s">
        <v>13</v>
      </c>
      <c r="C16" s="6" t="s">
        <v>4</v>
      </c>
      <c r="D16" s="6" t="s">
        <v>14</v>
      </c>
      <c r="E16" s="42" t="s">
        <v>4</v>
      </c>
      <c r="F16" s="49" t="s">
        <v>13</v>
      </c>
      <c r="G16" s="42" t="s">
        <v>4</v>
      </c>
      <c r="H16" s="180"/>
      <c r="I16" s="38" t="str">
        <f t="shared" si="0"/>
        <v>Yes</v>
      </c>
      <c r="J16" s="6" t="str">
        <f t="shared" si="1"/>
        <v>No</v>
      </c>
      <c r="K16" s="167">
        <f t="shared" si="2"/>
        <v>5</v>
      </c>
    </row>
    <row r="17" spans="1:11" ht="12.75">
      <c r="A17" t="s">
        <v>186</v>
      </c>
      <c r="B17" s="5" t="s">
        <v>48</v>
      </c>
      <c r="C17" s="6" t="s">
        <v>4</v>
      </c>
      <c r="D17" s="6" t="s">
        <v>187</v>
      </c>
      <c r="E17" s="45"/>
      <c r="F17" s="49"/>
      <c r="G17" s="45"/>
      <c r="H17" s="180"/>
      <c r="I17" s="38" t="str">
        <f t="shared" si="0"/>
        <v>No</v>
      </c>
      <c r="J17" s="25" t="str">
        <f t="shared" si="1"/>
        <v>No</v>
      </c>
      <c r="K17" s="167">
        <f t="shared" si="2"/>
        <v>0</v>
      </c>
    </row>
    <row r="18" spans="1:11" ht="12.75">
      <c r="A18" t="s">
        <v>91</v>
      </c>
      <c r="B18" s="5" t="s">
        <v>92</v>
      </c>
      <c r="C18" s="6" t="s">
        <v>93</v>
      </c>
      <c r="D18" s="6" t="s">
        <v>94</v>
      </c>
      <c r="E18" s="45" t="s">
        <v>92</v>
      </c>
      <c r="F18" s="45" t="s">
        <v>93</v>
      </c>
      <c r="G18" s="45" t="s">
        <v>92</v>
      </c>
      <c r="H18" s="180" t="s">
        <v>93</v>
      </c>
      <c r="I18" s="38" t="str">
        <f t="shared" si="0"/>
        <v>Yes</v>
      </c>
      <c r="J18" s="25" t="str">
        <f t="shared" si="1"/>
        <v>Yes</v>
      </c>
      <c r="K18" s="167">
        <f t="shared" si="2"/>
        <v>10</v>
      </c>
    </row>
    <row r="19" spans="1:11" ht="12.75">
      <c r="A19" t="s">
        <v>125</v>
      </c>
      <c r="B19" s="5" t="s">
        <v>45</v>
      </c>
      <c r="C19" s="6" t="s">
        <v>4</v>
      </c>
      <c r="D19" s="6" t="s">
        <v>126</v>
      </c>
      <c r="E19" s="45" t="s">
        <v>45</v>
      </c>
      <c r="F19" s="49" t="s">
        <v>342</v>
      </c>
      <c r="G19" s="45" t="s">
        <v>45</v>
      </c>
      <c r="H19" s="180"/>
      <c r="I19" s="38" t="str">
        <f t="shared" si="0"/>
        <v>Yes</v>
      </c>
      <c r="J19" s="25" t="str">
        <f t="shared" si="1"/>
        <v>No</v>
      </c>
      <c r="K19" s="167">
        <f t="shared" si="2"/>
        <v>5</v>
      </c>
    </row>
    <row r="20" spans="1:11" ht="12.75">
      <c r="A20" t="s">
        <v>16</v>
      </c>
      <c r="B20" s="5" t="s">
        <v>17</v>
      </c>
      <c r="C20" s="6" t="s">
        <v>4</v>
      </c>
      <c r="D20" s="6" t="s">
        <v>18</v>
      </c>
      <c r="E20" s="42" t="s">
        <v>4</v>
      </c>
      <c r="F20" s="48" t="s">
        <v>17</v>
      </c>
      <c r="G20" s="42" t="s">
        <v>4</v>
      </c>
      <c r="H20" s="181" t="s">
        <v>357</v>
      </c>
      <c r="I20" s="38" t="str">
        <f t="shared" si="0"/>
        <v>Yes</v>
      </c>
      <c r="J20" s="6" t="str">
        <f t="shared" si="1"/>
        <v>Yes</v>
      </c>
      <c r="K20" s="167">
        <f t="shared" si="2"/>
        <v>10</v>
      </c>
    </row>
    <row r="21" spans="1:11" ht="12.75">
      <c r="A21" t="s">
        <v>59</v>
      </c>
      <c r="B21" s="5" t="s">
        <v>45</v>
      </c>
      <c r="C21" s="6" t="s">
        <v>4</v>
      </c>
      <c r="D21" s="6" t="s">
        <v>60</v>
      </c>
      <c r="E21" s="42" t="s">
        <v>45</v>
      </c>
      <c r="F21" s="49" t="s">
        <v>589</v>
      </c>
      <c r="G21" s="42" t="s">
        <v>45</v>
      </c>
      <c r="H21" s="180" t="s">
        <v>344</v>
      </c>
      <c r="I21" s="38" t="str">
        <f t="shared" si="0"/>
        <v>Yes</v>
      </c>
      <c r="J21" s="25" t="str">
        <f t="shared" si="1"/>
        <v>Yes</v>
      </c>
      <c r="K21" s="167">
        <f t="shared" si="2"/>
        <v>10</v>
      </c>
    </row>
    <row r="22" spans="1:11" ht="12.75">
      <c r="A22" t="s">
        <v>163</v>
      </c>
      <c r="B22" s="5" t="s">
        <v>164</v>
      </c>
      <c r="C22" s="6" t="s">
        <v>165</v>
      </c>
      <c r="D22" s="6" t="s">
        <v>166</v>
      </c>
      <c r="E22" s="45" t="s">
        <v>343</v>
      </c>
      <c r="F22" s="49" t="s">
        <v>323</v>
      </c>
      <c r="G22" s="45" t="s">
        <v>51</v>
      </c>
      <c r="H22" s="180"/>
      <c r="I22" s="38" t="str">
        <f t="shared" si="0"/>
        <v>Yes</v>
      </c>
      <c r="J22" s="25" t="str">
        <f t="shared" si="1"/>
        <v>No</v>
      </c>
      <c r="K22" s="167">
        <f t="shared" si="2"/>
        <v>5</v>
      </c>
    </row>
    <row r="23" spans="1:11" ht="12.75">
      <c r="A23" t="s">
        <v>128</v>
      </c>
      <c r="B23" s="5" t="s">
        <v>129</v>
      </c>
      <c r="C23" s="6" t="s">
        <v>86</v>
      </c>
      <c r="D23" s="6" t="s">
        <v>130</v>
      </c>
      <c r="E23" s="45" t="s">
        <v>86</v>
      </c>
      <c r="F23" s="49" t="s">
        <v>129</v>
      </c>
      <c r="G23" s="45" t="s">
        <v>86</v>
      </c>
      <c r="H23" s="180"/>
      <c r="I23" s="38" t="str">
        <f t="shared" si="0"/>
        <v>Yes</v>
      </c>
      <c r="J23" s="25" t="str">
        <f t="shared" si="1"/>
        <v>No</v>
      </c>
      <c r="K23" s="167">
        <f t="shared" si="2"/>
        <v>5</v>
      </c>
    </row>
    <row r="24" spans="1:11" ht="12.75">
      <c r="A24" t="s">
        <v>82</v>
      </c>
      <c r="B24" s="5" t="s">
        <v>83</v>
      </c>
      <c r="C24" s="6" t="s">
        <v>4</v>
      </c>
      <c r="D24" s="6" t="s">
        <v>84</v>
      </c>
      <c r="E24" s="45" t="s">
        <v>4</v>
      </c>
      <c r="F24" s="49" t="s">
        <v>83</v>
      </c>
      <c r="G24" s="42" t="s">
        <v>4</v>
      </c>
      <c r="H24" s="180"/>
      <c r="I24" s="38" t="str">
        <f t="shared" si="0"/>
        <v>Yes</v>
      </c>
      <c r="J24" s="25" t="str">
        <f t="shared" si="1"/>
        <v>No</v>
      </c>
      <c r="K24" s="167">
        <f t="shared" si="2"/>
        <v>5</v>
      </c>
    </row>
    <row r="25" spans="1:11" ht="12.75">
      <c r="A25" t="s">
        <v>50</v>
      </c>
      <c r="B25" s="5" t="s">
        <v>51</v>
      </c>
      <c r="C25" s="6" t="s">
        <v>4</v>
      </c>
      <c r="D25" s="6" t="s">
        <v>52</v>
      </c>
      <c r="E25" s="49" t="s">
        <v>4</v>
      </c>
      <c r="F25" s="49" t="s">
        <v>344</v>
      </c>
      <c r="G25" s="42" t="s">
        <v>4</v>
      </c>
      <c r="H25" s="180" t="s">
        <v>344</v>
      </c>
      <c r="I25" s="38" t="str">
        <f t="shared" si="0"/>
        <v>Yes</v>
      </c>
      <c r="J25" s="25" t="str">
        <f t="shared" si="1"/>
        <v>Yes</v>
      </c>
      <c r="K25" s="167">
        <f t="shared" si="2"/>
        <v>10</v>
      </c>
    </row>
    <row r="26" spans="1:11" ht="12.75">
      <c r="A26" t="s">
        <v>272</v>
      </c>
      <c r="B26" s="5" t="s">
        <v>273</v>
      </c>
      <c r="C26" s="6" t="s">
        <v>213</v>
      </c>
      <c r="D26" s="6" t="s">
        <v>274</v>
      </c>
      <c r="E26" s="45"/>
      <c r="F26" s="49"/>
      <c r="G26" s="45"/>
      <c r="H26" s="180"/>
      <c r="I26" s="38" t="str">
        <f t="shared" si="0"/>
        <v>No</v>
      </c>
      <c r="J26" s="25" t="str">
        <f t="shared" si="1"/>
        <v>No</v>
      </c>
      <c r="K26" s="167">
        <f t="shared" si="2"/>
        <v>0</v>
      </c>
    </row>
    <row r="27" spans="1:11" ht="12.75">
      <c r="A27" t="s">
        <v>215</v>
      </c>
      <c r="B27" s="5" t="s">
        <v>216</v>
      </c>
      <c r="C27" s="6" t="s">
        <v>92</v>
      </c>
      <c r="D27" s="6" t="s">
        <v>217</v>
      </c>
      <c r="E27" s="45"/>
      <c r="F27" s="49"/>
      <c r="G27" s="45"/>
      <c r="H27" s="180"/>
      <c r="I27" s="38" t="str">
        <f t="shared" si="0"/>
        <v>No</v>
      </c>
      <c r="J27" s="25" t="str">
        <f t="shared" si="1"/>
        <v>No</v>
      </c>
      <c r="K27" s="167">
        <f t="shared" si="2"/>
        <v>0</v>
      </c>
    </row>
    <row r="28" spans="1:11" ht="12.75">
      <c r="A28" s="14" t="s">
        <v>275</v>
      </c>
      <c r="B28" s="5" t="s">
        <v>273</v>
      </c>
      <c r="C28" s="6" t="s">
        <v>210</v>
      </c>
      <c r="D28" s="6" t="s">
        <v>276</v>
      </c>
      <c r="E28" s="45" t="s">
        <v>210</v>
      </c>
      <c r="F28" s="49" t="s">
        <v>350</v>
      </c>
      <c r="G28" s="45" t="s">
        <v>210</v>
      </c>
      <c r="H28" s="180"/>
      <c r="I28" s="38" t="str">
        <f t="shared" si="0"/>
        <v>Yes</v>
      </c>
      <c r="J28" s="25" t="str">
        <f t="shared" si="1"/>
        <v>No</v>
      </c>
      <c r="K28" s="167">
        <f t="shared" si="2"/>
        <v>5</v>
      </c>
    </row>
    <row r="29" spans="1:11" ht="12.75">
      <c r="A29" t="s">
        <v>218</v>
      </c>
      <c r="B29" s="5" t="s">
        <v>219</v>
      </c>
      <c r="C29" s="6" t="s">
        <v>92</v>
      </c>
      <c r="D29" s="6" t="s">
        <v>220</v>
      </c>
      <c r="E29" s="45"/>
      <c r="F29" s="49"/>
      <c r="G29" s="45"/>
      <c r="H29" s="180"/>
      <c r="I29" s="38" t="str">
        <f t="shared" si="0"/>
        <v>No</v>
      </c>
      <c r="J29" s="25" t="str">
        <f t="shared" si="1"/>
        <v>No</v>
      </c>
      <c r="K29" s="167">
        <f t="shared" si="2"/>
        <v>0</v>
      </c>
    </row>
    <row r="30" spans="1:11" ht="12.75">
      <c r="A30" t="s">
        <v>277</v>
      </c>
      <c r="B30" s="5" t="s">
        <v>189</v>
      </c>
      <c r="C30" s="6" t="s">
        <v>233</v>
      </c>
      <c r="D30" s="6" t="s">
        <v>278</v>
      </c>
      <c r="E30" s="45" t="s">
        <v>189</v>
      </c>
      <c r="F30" s="49" t="s">
        <v>278</v>
      </c>
      <c r="G30" s="45"/>
      <c r="H30" s="180"/>
      <c r="I30" s="38" t="str">
        <f t="shared" si="0"/>
        <v>Yes</v>
      </c>
      <c r="J30" s="25" t="str">
        <f t="shared" si="1"/>
        <v>No</v>
      </c>
      <c r="K30" s="167">
        <f t="shared" si="2"/>
        <v>5</v>
      </c>
    </row>
    <row r="31" spans="1:11" ht="12.75">
      <c r="A31" t="s">
        <v>221</v>
      </c>
      <c r="B31" s="5" t="s">
        <v>222</v>
      </c>
      <c r="C31" s="6" t="s">
        <v>102</v>
      </c>
      <c r="D31" s="6" t="s">
        <v>223</v>
      </c>
      <c r="E31" s="45" t="s">
        <v>102</v>
      </c>
      <c r="F31" s="49" t="s">
        <v>222</v>
      </c>
      <c r="G31" s="45" t="s">
        <v>102</v>
      </c>
      <c r="H31" s="180"/>
      <c r="I31" s="38" t="str">
        <f t="shared" si="0"/>
        <v>Yes</v>
      </c>
      <c r="J31" s="25" t="str">
        <f t="shared" si="1"/>
        <v>No</v>
      </c>
      <c r="K31" s="167">
        <f t="shared" si="2"/>
        <v>5</v>
      </c>
    </row>
    <row r="32" spans="1:11" ht="12.75">
      <c r="A32" t="s">
        <v>224</v>
      </c>
      <c r="B32" s="5" t="s">
        <v>189</v>
      </c>
      <c r="C32" s="6" t="s">
        <v>225</v>
      </c>
      <c r="D32" s="6" t="s">
        <v>226</v>
      </c>
      <c r="E32" s="45" t="s">
        <v>189</v>
      </c>
      <c r="F32" s="49" t="s">
        <v>66</v>
      </c>
      <c r="G32" s="45"/>
      <c r="H32" s="180"/>
      <c r="I32" s="38" t="str">
        <f t="shared" si="0"/>
        <v>Yes</v>
      </c>
      <c r="J32" s="25" t="str">
        <f t="shared" si="1"/>
        <v>No</v>
      </c>
      <c r="K32" s="167">
        <f t="shared" si="2"/>
        <v>5</v>
      </c>
    </row>
    <row r="33" spans="1:11" ht="12.75">
      <c r="A33" t="s">
        <v>167</v>
      </c>
      <c r="B33" s="5" t="s">
        <v>168</v>
      </c>
      <c r="C33" s="6" t="s">
        <v>97</v>
      </c>
      <c r="D33" s="6" t="s">
        <v>169</v>
      </c>
      <c r="E33" s="45" t="s">
        <v>99</v>
      </c>
      <c r="F33" s="49" t="s">
        <v>345</v>
      </c>
      <c r="G33" s="45" t="s">
        <v>97</v>
      </c>
      <c r="H33" s="180"/>
      <c r="I33" s="38" t="str">
        <f t="shared" si="0"/>
        <v>Yes</v>
      </c>
      <c r="J33" s="25" t="str">
        <f t="shared" si="1"/>
        <v>No</v>
      </c>
      <c r="K33" s="167">
        <f t="shared" si="2"/>
        <v>5</v>
      </c>
    </row>
    <row r="34" spans="1:11" ht="12.75">
      <c r="A34" s="14" t="s">
        <v>188</v>
      </c>
      <c r="B34" s="5" t="s">
        <v>189</v>
      </c>
      <c r="C34" s="6" t="s">
        <v>21</v>
      </c>
      <c r="D34" s="6" t="s">
        <v>190</v>
      </c>
      <c r="E34" s="45"/>
      <c r="F34" s="49"/>
      <c r="G34" s="45"/>
      <c r="H34" s="180"/>
      <c r="I34" s="38" t="str">
        <f t="shared" si="0"/>
        <v>No</v>
      </c>
      <c r="J34" s="25" t="str">
        <f t="shared" si="1"/>
        <v>No</v>
      </c>
      <c r="K34" s="167">
        <f t="shared" si="2"/>
        <v>0</v>
      </c>
    </row>
    <row r="35" spans="1:11" ht="12.75">
      <c r="A35" t="s">
        <v>170</v>
      </c>
      <c r="B35" s="5" t="s">
        <v>171</v>
      </c>
      <c r="C35" s="6" t="s">
        <v>98</v>
      </c>
      <c r="D35" s="6" t="s">
        <v>172</v>
      </c>
      <c r="E35" s="45" t="s">
        <v>98</v>
      </c>
      <c r="F35" s="49" t="s">
        <v>171</v>
      </c>
      <c r="G35" s="45" t="s">
        <v>98</v>
      </c>
      <c r="H35" s="180"/>
      <c r="I35" s="38" t="str">
        <f aca="true" t="shared" si="3" ref="I35:I66">IF(E35="","No",IF(F35="","No","Yes"))</f>
        <v>Yes</v>
      </c>
      <c r="J35" s="25" t="str">
        <f aca="true" t="shared" si="4" ref="J35:J66">IF(H35="","No",IF(K35="","No","Yes"))</f>
        <v>No</v>
      </c>
      <c r="K35" s="167">
        <f aca="true" t="shared" si="5" ref="K35:K66">IF(E35="",0,IF(F35="",0,5)+IF(G35="",0,IF(H35="",0,5)))</f>
        <v>5</v>
      </c>
    </row>
    <row r="36" spans="1:11" ht="12.75">
      <c r="A36" t="s">
        <v>173</v>
      </c>
      <c r="B36" s="5" t="s">
        <v>97</v>
      </c>
      <c r="C36" s="6" t="s">
        <v>45</v>
      </c>
      <c r="D36" s="6" t="s">
        <v>174</v>
      </c>
      <c r="E36" s="45" t="s">
        <v>97</v>
      </c>
      <c r="F36" s="49" t="s">
        <v>590</v>
      </c>
      <c r="G36" s="45" t="s">
        <v>97</v>
      </c>
      <c r="H36" s="180"/>
      <c r="I36" s="38" t="str">
        <f t="shared" si="3"/>
        <v>Yes</v>
      </c>
      <c r="J36" s="25" t="str">
        <f t="shared" si="4"/>
        <v>No</v>
      </c>
      <c r="K36" s="167">
        <f t="shared" si="5"/>
        <v>5</v>
      </c>
    </row>
    <row r="37" spans="1:11" ht="12.75">
      <c r="A37" t="s">
        <v>227</v>
      </c>
      <c r="B37" s="5" t="s">
        <v>98</v>
      </c>
      <c r="C37" s="6" t="s">
        <v>39</v>
      </c>
      <c r="D37" s="6" t="s">
        <v>228</v>
      </c>
      <c r="E37" s="45"/>
      <c r="F37" s="49"/>
      <c r="G37" s="45"/>
      <c r="H37" s="180"/>
      <c r="I37" s="38" t="str">
        <f t="shared" si="3"/>
        <v>No</v>
      </c>
      <c r="J37" s="25" t="str">
        <f t="shared" si="4"/>
        <v>No</v>
      </c>
      <c r="K37" s="167">
        <f t="shared" si="5"/>
        <v>0</v>
      </c>
    </row>
    <row r="38" spans="1:11" ht="12.75">
      <c r="A38" t="s">
        <v>229</v>
      </c>
      <c r="B38" s="5" t="s">
        <v>97</v>
      </c>
      <c r="C38" s="6" t="s">
        <v>230</v>
      </c>
      <c r="D38" s="6" t="s">
        <v>231</v>
      </c>
      <c r="E38" s="45" t="s">
        <v>97</v>
      </c>
      <c r="F38" s="49" t="s">
        <v>592</v>
      </c>
      <c r="G38" s="45" t="s">
        <v>97</v>
      </c>
      <c r="H38" s="180"/>
      <c r="I38" s="38" t="str">
        <f t="shared" si="3"/>
        <v>Yes</v>
      </c>
      <c r="J38" s="25" t="str">
        <f t="shared" si="4"/>
        <v>No</v>
      </c>
      <c r="K38" s="167">
        <f t="shared" si="5"/>
        <v>5</v>
      </c>
    </row>
    <row r="39" spans="1:11" ht="12.75">
      <c r="A39" t="s">
        <v>176</v>
      </c>
      <c r="B39" s="5" t="s">
        <v>98</v>
      </c>
      <c r="C39" s="6" t="s">
        <v>4</v>
      </c>
      <c r="D39" s="6" t="s">
        <v>177</v>
      </c>
      <c r="E39" s="45" t="s">
        <v>98</v>
      </c>
      <c r="F39" s="49" t="s">
        <v>39</v>
      </c>
      <c r="G39" s="45" t="s">
        <v>98</v>
      </c>
      <c r="H39" s="180"/>
      <c r="I39" s="38" t="str">
        <f t="shared" si="3"/>
        <v>Yes</v>
      </c>
      <c r="J39" s="25" t="str">
        <f t="shared" si="4"/>
        <v>No</v>
      </c>
      <c r="K39" s="167">
        <f t="shared" si="5"/>
        <v>5</v>
      </c>
    </row>
    <row r="40" spans="1:11" ht="12.75">
      <c r="A40" t="s">
        <v>96</v>
      </c>
      <c r="B40" s="5" t="s">
        <v>97</v>
      </c>
      <c r="C40" s="6" t="s">
        <v>98</v>
      </c>
      <c r="D40" s="6" t="s">
        <v>99</v>
      </c>
      <c r="E40" s="45" t="s">
        <v>97</v>
      </c>
      <c r="F40" s="180" t="s">
        <v>98</v>
      </c>
      <c r="G40" s="45" t="s">
        <v>97</v>
      </c>
      <c r="H40" s="180" t="s">
        <v>98</v>
      </c>
      <c r="I40" s="38" t="str">
        <f t="shared" si="3"/>
        <v>Yes</v>
      </c>
      <c r="J40" s="25" t="str">
        <f t="shared" si="4"/>
        <v>Yes</v>
      </c>
      <c r="K40" s="167">
        <f t="shared" si="5"/>
        <v>10</v>
      </c>
    </row>
    <row r="41" spans="1:11" ht="12.75">
      <c r="A41" t="s">
        <v>131</v>
      </c>
      <c r="B41" s="5" t="s">
        <v>98</v>
      </c>
      <c r="C41" s="6" t="s">
        <v>132</v>
      </c>
      <c r="D41" s="6" t="s">
        <v>133</v>
      </c>
      <c r="E41" s="45" t="s">
        <v>98</v>
      </c>
      <c r="F41" s="49" t="s">
        <v>593</v>
      </c>
      <c r="G41" s="45" t="s">
        <v>98</v>
      </c>
      <c r="H41" s="180"/>
      <c r="I41" s="38" t="str">
        <f t="shared" si="3"/>
        <v>Yes</v>
      </c>
      <c r="J41" s="25" t="str">
        <f t="shared" si="4"/>
        <v>No</v>
      </c>
      <c r="K41" s="167">
        <f t="shared" si="5"/>
        <v>5</v>
      </c>
    </row>
    <row r="42" spans="1:11" ht="12.75">
      <c r="A42" t="s">
        <v>100</v>
      </c>
      <c r="B42" s="5" t="s">
        <v>97</v>
      </c>
      <c r="C42" s="6" t="s">
        <v>4</v>
      </c>
      <c r="D42" s="6" t="s">
        <v>51</v>
      </c>
      <c r="E42" s="45" t="s">
        <v>51</v>
      </c>
      <c r="F42" s="49" t="s">
        <v>97</v>
      </c>
      <c r="G42" s="45" t="s">
        <v>51</v>
      </c>
      <c r="H42" s="181" t="s">
        <v>97</v>
      </c>
      <c r="I42" s="38" t="str">
        <f t="shared" si="3"/>
        <v>Yes</v>
      </c>
      <c r="J42" s="25" t="str">
        <f t="shared" si="4"/>
        <v>Yes</v>
      </c>
      <c r="K42" s="167">
        <f t="shared" si="5"/>
        <v>10</v>
      </c>
    </row>
    <row r="43" spans="1:11" ht="12.75">
      <c r="A43" t="s">
        <v>279</v>
      </c>
      <c r="B43" s="5" t="s">
        <v>280</v>
      </c>
      <c r="C43" s="6" t="s">
        <v>281</v>
      </c>
      <c r="D43" s="6" t="s">
        <v>282</v>
      </c>
      <c r="E43" s="45" t="s">
        <v>280</v>
      </c>
      <c r="F43" s="49" t="s">
        <v>346</v>
      </c>
      <c r="G43" s="45"/>
      <c r="H43" s="180"/>
      <c r="I43" s="38" t="str">
        <f t="shared" si="3"/>
        <v>Yes</v>
      </c>
      <c r="J43" s="25" t="str">
        <f t="shared" si="4"/>
        <v>No</v>
      </c>
      <c r="K43" s="167">
        <f t="shared" si="5"/>
        <v>5</v>
      </c>
    </row>
    <row r="44" spans="1:11" ht="12.75">
      <c r="A44" t="s">
        <v>101</v>
      </c>
      <c r="B44" s="5" t="s">
        <v>102</v>
      </c>
      <c r="C44" s="6" t="s">
        <v>45</v>
      </c>
      <c r="D44" s="6" t="s">
        <v>103</v>
      </c>
      <c r="E44" s="45" t="s">
        <v>102</v>
      </c>
      <c r="F44" s="49" t="s">
        <v>97</v>
      </c>
      <c r="G44" s="45" t="s">
        <v>102</v>
      </c>
      <c r="H44" s="180" t="s">
        <v>97</v>
      </c>
      <c r="I44" s="38" t="str">
        <f t="shared" si="3"/>
        <v>Yes</v>
      </c>
      <c r="J44" s="25" t="str">
        <f t="shared" si="4"/>
        <v>Yes</v>
      </c>
      <c r="K44" s="167">
        <f t="shared" si="5"/>
        <v>10</v>
      </c>
    </row>
    <row r="45" spans="1:11" ht="12.75">
      <c r="A45" t="s">
        <v>178</v>
      </c>
      <c r="B45" s="5" t="s">
        <v>66</v>
      </c>
      <c r="C45" s="6" t="s">
        <v>86</v>
      </c>
      <c r="D45" s="6" t="s">
        <v>179</v>
      </c>
      <c r="E45" s="45" t="s">
        <v>86</v>
      </c>
      <c r="F45" s="49" t="s">
        <v>66</v>
      </c>
      <c r="G45" s="45" t="s">
        <v>86</v>
      </c>
      <c r="H45" s="180"/>
      <c r="I45" s="38" t="str">
        <f t="shared" si="3"/>
        <v>Yes</v>
      </c>
      <c r="J45" s="25" t="str">
        <f t="shared" si="4"/>
        <v>No</v>
      </c>
      <c r="K45" s="167">
        <f t="shared" si="5"/>
        <v>5</v>
      </c>
    </row>
    <row r="46" spans="1:11" ht="12.75">
      <c r="A46" t="s">
        <v>261</v>
      </c>
      <c r="B46" s="5" t="s">
        <v>233</v>
      </c>
      <c r="C46" s="6" t="s">
        <v>119</v>
      </c>
      <c r="D46" s="6" t="s">
        <v>262</v>
      </c>
      <c r="E46" s="45" t="s">
        <v>119</v>
      </c>
      <c r="F46" s="49" t="s">
        <v>233</v>
      </c>
      <c r="G46" s="45" t="s">
        <v>119</v>
      </c>
      <c r="H46" s="180"/>
      <c r="I46" s="38" t="str">
        <f t="shared" si="3"/>
        <v>Yes</v>
      </c>
      <c r="J46" s="25" t="str">
        <f t="shared" si="4"/>
        <v>No</v>
      </c>
      <c r="K46" s="167">
        <f t="shared" si="5"/>
        <v>5</v>
      </c>
    </row>
    <row r="47" spans="1:11" ht="12.75">
      <c r="A47" t="s">
        <v>283</v>
      </c>
      <c r="B47" s="5" t="s">
        <v>213</v>
      </c>
      <c r="C47" s="6" t="s">
        <v>119</v>
      </c>
      <c r="D47" s="6" t="s">
        <v>284</v>
      </c>
      <c r="E47" s="45"/>
      <c r="F47" s="49"/>
      <c r="G47" s="45"/>
      <c r="H47" s="180"/>
      <c r="I47" s="38" t="str">
        <f t="shared" si="3"/>
        <v>No</v>
      </c>
      <c r="J47" s="25" t="str">
        <f t="shared" si="4"/>
        <v>No</v>
      </c>
      <c r="K47" s="167">
        <f t="shared" si="5"/>
        <v>0</v>
      </c>
    </row>
    <row r="48" spans="1:11" ht="12.75">
      <c r="A48" t="s">
        <v>232</v>
      </c>
      <c r="B48" s="5" t="s">
        <v>233</v>
      </c>
      <c r="C48" s="6" t="s">
        <v>234</v>
      </c>
      <c r="D48" s="6" t="s">
        <v>235</v>
      </c>
      <c r="E48" s="45" t="s">
        <v>233</v>
      </c>
      <c r="F48" s="49" t="s">
        <v>210</v>
      </c>
      <c r="G48" s="45"/>
      <c r="H48" s="180"/>
      <c r="I48" s="38" t="str">
        <f t="shared" si="3"/>
        <v>Yes</v>
      </c>
      <c r="J48" s="25" t="str">
        <f t="shared" si="4"/>
        <v>No</v>
      </c>
      <c r="K48" s="167">
        <f t="shared" si="5"/>
        <v>5</v>
      </c>
    </row>
    <row r="49" spans="1:11" ht="12.75">
      <c r="A49" t="s">
        <v>209</v>
      </c>
      <c r="B49" s="5" t="s">
        <v>210</v>
      </c>
      <c r="C49" s="6" t="s">
        <v>119</v>
      </c>
      <c r="D49" s="6" t="s">
        <v>211</v>
      </c>
      <c r="E49" s="45"/>
      <c r="F49" s="49"/>
      <c r="G49" s="45"/>
      <c r="H49" s="180"/>
      <c r="I49" s="38" t="str">
        <f t="shared" si="3"/>
        <v>No</v>
      </c>
      <c r="J49" s="25" t="str">
        <f t="shared" si="4"/>
        <v>No</v>
      </c>
      <c r="K49" s="167">
        <f t="shared" si="5"/>
        <v>0</v>
      </c>
    </row>
    <row r="50" spans="1:11" ht="12.75">
      <c r="A50" t="s">
        <v>104</v>
      </c>
      <c r="B50" s="5" t="s">
        <v>105</v>
      </c>
      <c r="C50" s="6" t="s">
        <v>4</v>
      </c>
      <c r="D50" s="6" t="s">
        <v>106</v>
      </c>
      <c r="E50" s="45" t="s">
        <v>86</v>
      </c>
      <c r="F50" s="49" t="s">
        <v>4</v>
      </c>
      <c r="G50" s="45" t="s">
        <v>86</v>
      </c>
      <c r="H50" s="181" t="s">
        <v>4</v>
      </c>
      <c r="I50" s="38" t="str">
        <f t="shared" si="3"/>
        <v>Yes</v>
      </c>
      <c r="J50" s="25" t="str">
        <f t="shared" si="4"/>
        <v>Yes</v>
      </c>
      <c r="K50" s="167">
        <f t="shared" si="5"/>
        <v>10</v>
      </c>
    </row>
    <row r="51" spans="1:11" ht="12.75">
      <c r="A51" t="s">
        <v>285</v>
      </c>
      <c r="B51" s="5" t="s">
        <v>286</v>
      </c>
      <c r="C51" s="6" t="s">
        <v>233</v>
      </c>
      <c r="D51" s="6" t="s">
        <v>287</v>
      </c>
      <c r="E51" s="45" t="s">
        <v>233</v>
      </c>
      <c r="F51" s="48" t="s">
        <v>120</v>
      </c>
      <c r="G51" s="45"/>
      <c r="H51" s="180"/>
      <c r="I51" s="5" t="str">
        <f t="shared" si="3"/>
        <v>Yes</v>
      </c>
      <c r="J51" s="25" t="str">
        <f t="shared" si="4"/>
        <v>No</v>
      </c>
      <c r="K51" s="167">
        <f t="shared" si="5"/>
        <v>5</v>
      </c>
    </row>
    <row r="52" spans="1:11" ht="12.75">
      <c r="A52" t="s">
        <v>236</v>
      </c>
      <c r="B52" s="5" t="s">
        <v>105</v>
      </c>
      <c r="C52" s="6" t="s">
        <v>21</v>
      </c>
      <c r="D52" s="6" t="s">
        <v>237</v>
      </c>
      <c r="E52" s="45" t="s">
        <v>347</v>
      </c>
      <c r="F52" s="49" t="s">
        <v>105</v>
      </c>
      <c r="G52" s="45" t="s">
        <v>347</v>
      </c>
      <c r="H52" s="180"/>
      <c r="I52" s="38" t="str">
        <f t="shared" si="3"/>
        <v>Yes</v>
      </c>
      <c r="J52" s="25" t="str">
        <f t="shared" si="4"/>
        <v>No</v>
      </c>
      <c r="K52" s="167">
        <f t="shared" si="5"/>
        <v>5</v>
      </c>
    </row>
    <row r="53" spans="1:11" ht="12.75">
      <c r="A53" t="s">
        <v>288</v>
      </c>
      <c r="B53" s="5" t="s">
        <v>289</v>
      </c>
      <c r="C53" s="6" t="s">
        <v>233</v>
      </c>
      <c r="D53" s="6" t="s">
        <v>290</v>
      </c>
      <c r="E53" s="45" t="s">
        <v>289</v>
      </c>
      <c r="F53" s="49" t="s">
        <v>233</v>
      </c>
      <c r="G53" s="45"/>
      <c r="H53" s="180"/>
      <c r="I53" s="38" t="str">
        <f t="shared" si="3"/>
        <v>Yes</v>
      </c>
      <c r="J53" s="25" t="str">
        <f t="shared" si="4"/>
        <v>No</v>
      </c>
      <c r="K53" s="167">
        <f t="shared" si="5"/>
        <v>5</v>
      </c>
    </row>
    <row r="54" spans="1:11" ht="12.75">
      <c r="A54" t="s">
        <v>34</v>
      </c>
      <c r="B54" s="5" t="s">
        <v>35</v>
      </c>
      <c r="C54" s="6" t="s">
        <v>4</v>
      </c>
      <c r="D54" s="6" t="s">
        <v>36</v>
      </c>
      <c r="E54" s="44"/>
      <c r="F54" s="49"/>
      <c r="G54" s="42"/>
      <c r="H54" s="180"/>
      <c r="I54" s="38" t="str">
        <f t="shared" si="3"/>
        <v>No</v>
      </c>
      <c r="J54" s="25" t="str">
        <f t="shared" si="4"/>
        <v>No</v>
      </c>
      <c r="K54" s="167">
        <f t="shared" si="5"/>
        <v>0</v>
      </c>
    </row>
    <row r="55" spans="1:11" ht="12.75">
      <c r="A55" t="s">
        <v>238</v>
      </c>
      <c r="B55" s="5" t="s">
        <v>120</v>
      </c>
      <c r="C55" s="6" t="s">
        <v>239</v>
      </c>
      <c r="D55" s="6" t="s">
        <v>240</v>
      </c>
      <c r="E55" s="45" t="s">
        <v>120</v>
      </c>
      <c r="F55" s="45" t="s">
        <v>239</v>
      </c>
      <c r="G55" s="45" t="s">
        <v>120</v>
      </c>
      <c r="H55" s="180" t="s">
        <v>239</v>
      </c>
      <c r="I55" s="38" t="str">
        <f t="shared" si="3"/>
        <v>Yes</v>
      </c>
      <c r="J55" s="25" t="str">
        <f t="shared" si="4"/>
        <v>Yes</v>
      </c>
      <c r="K55" s="167">
        <f t="shared" si="5"/>
        <v>10</v>
      </c>
    </row>
    <row r="56" spans="1:11" ht="12.75">
      <c r="A56" t="s">
        <v>134</v>
      </c>
      <c r="B56" s="5" t="s">
        <v>135</v>
      </c>
      <c r="C56" s="6" t="s">
        <v>21</v>
      </c>
      <c r="D56" s="6" t="s">
        <v>136</v>
      </c>
      <c r="E56" s="45" t="s">
        <v>347</v>
      </c>
      <c r="F56" s="49" t="s">
        <v>356</v>
      </c>
      <c r="G56" s="45" t="s">
        <v>347</v>
      </c>
      <c r="H56" s="180"/>
      <c r="I56" s="38" t="str">
        <f t="shared" si="3"/>
        <v>Yes</v>
      </c>
      <c r="J56" s="25" t="str">
        <f t="shared" si="4"/>
        <v>No</v>
      </c>
      <c r="K56" s="167">
        <f t="shared" si="5"/>
        <v>5</v>
      </c>
    </row>
    <row r="57" spans="1:11" ht="12.75">
      <c r="A57" t="s">
        <v>291</v>
      </c>
      <c r="B57" s="5" t="s">
        <v>239</v>
      </c>
      <c r="C57" s="6" t="s">
        <v>233</v>
      </c>
      <c r="D57" s="6" t="s">
        <v>292</v>
      </c>
      <c r="E57" s="45" t="s">
        <v>239</v>
      </c>
      <c r="F57" s="49" t="s">
        <v>233</v>
      </c>
      <c r="G57" s="45" t="s">
        <v>239</v>
      </c>
      <c r="H57" s="180"/>
      <c r="I57" s="38" t="str">
        <f t="shared" si="3"/>
        <v>Yes</v>
      </c>
      <c r="J57" s="25" t="str">
        <f t="shared" si="4"/>
        <v>No</v>
      </c>
      <c r="K57" s="167">
        <f t="shared" si="5"/>
        <v>5</v>
      </c>
    </row>
    <row r="58" spans="1:11" ht="12.75">
      <c r="A58" t="s">
        <v>138</v>
      </c>
      <c r="B58" s="5" t="s">
        <v>86</v>
      </c>
      <c r="C58" s="6" t="s">
        <v>21</v>
      </c>
      <c r="D58" s="6" t="s">
        <v>139</v>
      </c>
      <c r="E58" s="45" t="s">
        <v>86</v>
      </c>
      <c r="F58" s="45" t="s">
        <v>347</v>
      </c>
      <c r="G58" s="45" t="s">
        <v>86</v>
      </c>
      <c r="H58" s="180" t="s">
        <v>347</v>
      </c>
      <c r="I58" s="38" t="str">
        <f t="shared" si="3"/>
        <v>Yes</v>
      </c>
      <c r="J58" s="25" t="str">
        <f t="shared" si="4"/>
        <v>Yes</v>
      </c>
      <c r="K58" s="167">
        <f t="shared" si="5"/>
        <v>10</v>
      </c>
    </row>
    <row r="59" spans="1:11" ht="12.75">
      <c r="A59" t="s">
        <v>241</v>
      </c>
      <c r="B59" s="5" t="s">
        <v>216</v>
      </c>
      <c r="C59" s="6" t="s">
        <v>92</v>
      </c>
      <c r="D59" s="6" t="s">
        <v>242</v>
      </c>
      <c r="E59" s="45"/>
      <c r="F59" s="49"/>
      <c r="G59" s="45"/>
      <c r="H59" s="180"/>
      <c r="I59" s="38" t="str">
        <f t="shared" si="3"/>
        <v>No</v>
      </c>
      <c r="J59" s="25" t="str">
        <f t="shared" si="4"/>
        <v>No</v>
      </c>
      <c r="K59" s="167">
        <f t="shared" si="5"/>
        <v>0</v>
      </c>
    </row>
    <row r="60" spans="1:11" ht="12.75">
      <c r="A60" t="s">
        <v>72</v>
      </c>
      <c r="B60" s="5" t="s">
        <v>73</v>
      </c>
      <c r="C60" s="6" t="s">
        <v>4</v>
      </c>
      <c r="D60" s="6" t="s">
        <v>74</v>
      </c>
      <c r="E60" s="45"/>
      <c r="F60" s="49"/>
      <c r="G60" s="42"/>
      <c r="H60" s="180"/>
      <c r="I60" s="38" t="str">
        <f t="shared" si="3"/>
        <v>No</v>
      </c>
      <c r="J60" s="25" t="str">
        <f t="shared" si="4"/>
        <v>No</v>
      </c>
      <c r="K60" s="167">
        <f t="shared" si="5"/>
        <v>0</v>
      </c>
    </row>
    <row r="61" spans="1:11" ht="12.75">
      <c r="A61" t="s">
        <v>243</v>
      </c>
      <c r="B61" s="5" t="s">
        <v>244</v>
      </c>
      <c r="C61" s="6" t="s">
        <v>92</v>
      </c>
      <c r="D61" s="6" t="s">
        <v>245</v>
      </c>
      <c r="E61" s="45"/>
      <c r="F61" s="49"/>
      <c r="G61" s="45"/>
      <c r="H61" s="180"/>
      <c r="I61" s="38" t="str">
        <f t="shared" si="3"/>
        <v>No</v>
      </c>
      <c r="J61" s="25" t="str">
        <f t="shared" si="4"/>
        <v>No</v>
      </c>
      <c r="K61" s="167">
        <f t="shared" si="5"/>
        <v>0</v>
      </c>
    </row>
    <row r="62" spans="1:11" ht="12.75">
      <c r="A62" t="s">
        <v>75</v>
      </c>
      <c r="B62" s="5" t="s">
        <v>73</v>
      </c>
      <c r="C62" s="6" t="s">
        <v>4</v>
      </c>
      <c r="D62" s="6" t="s">
        <v>76</v>
      </c>
      <c r="E62" s="45"/>
      <c r="F62" s="49"/>
      <c r="G62" s="42"/>
      <c r="H62" s="180"/>
      <c r="I62" s="38" t="str">
        <f t="shared" si="3"/>
        <v>No</v>
      </c>
      <c r="J62" s="25" t="str">
        <f t="shared" si="4"/>
        <v>No</v>
      </c>
      <c r="K62" s="167">
        <f t="shared" si="5"/>
        <v>0</v>
      </c>
    </row>
    <row r="63" spans="1:11" ht="12.75">
      <c r="A63" t="s">
        <v>184</v>
      </c>
      <c r="B63" s="5" t="s">
        <v>92</v>
      </c>
      <c r="C63" s="6" t="s">
        <v>97</v>
      </c>
      <c r="D63" s="6" t="s">
        <v>185</v>
      </c>
      <c r="E63" s="45" t="s">
        <v>92</v>
      </c>
      <c r="F63" s="45" t="s">
        <v>97</v>
      </c>
      <c r="G63" s="45" t="s">
        <v>92</v>
      </c>
      <c r="H63" s="180" t="s">
        <v>97</v>
      </c>
      <c r="I63" s="38" t="str">
        <f t="shared" si="3"/>
        <v>Yes</v>
      </c>
      <c r="J63" s="25" t="str">
        <f t="shared" si="4"/>
        <v>Yes</v>
      </c>
      <c r="K63" s="167">
        <f t="shared" si="5"/>
        <v>10</v>
      </c>
    </row>
    <row r="64" spans="1:11" ht="12.75">
      <c r="A64" t="s">
        <v>62</v>
      </c>
      <c r="B64" s="5" t="s">
        <v>39</v>
      </c>
      <c r="C64" s="6" t="s">
        <v>4</v>
      </c>
      <c r="D64" s="6" t="s">
        <v>63</v>
      </c>
      <c r="E64" s="49" t="s">
        <v>4</v>
      </c>
      <c r="F64" s="49" t="s">
        <v>39</v>
      </c>
      <c r="G64" s="42" t="s">
        <v>4</v>
      </c>
      <c r="H64" s="180"/>
      <c r="I64" s="38" t="str">
        <f t="shared" si="3"/>
        <v>Yes</v>
      </c>
      <c r="J64" s="25" t="str">
        <f t="shared" si="4"/>
        <v>No</v>
      </c>
      <c r="K64" s="167">
        <f t="shared" si="5"/>
        <v>5</v>
      </c>
    </row>
    <row r="65" spans="1:11" ht="12.75">
      <c r="A65" t="s">
        <v>246</v>
      </c>
      <c r="B65" s="5" t="s">
        <v>97</v>
      </c>
      <c r="C65" s="6" t="s">
        <v>98</v>
      </c>
      <c r="D65" s="6" t="s">
        <v>247</v>
      </c>
      <c r="E65" s="45" t="s">
        <v>97</v>
      </c>
      <c r="F65" s="45" t="s">
        <v>348</v>
      </c>
      <c r="G65" s="45" t="s">
        <v>97</v>
      </c>
      <c r="H65" s="180" t="s">
        <v>348</v>
      </c>
      <c r="I65" s="5" t="str">
        <f t="shared" si="3"/>
        <v>Yes</v>
      </c>
      <c r="J65" s="6" t="str">
        <f t="shared" si="4"/>
        <v>Yes</v>
      </c>
      <c r="K65" s="167">
        <f t="shared" si="5"/>
        <v>10</v>
      </c>
    </row>
    <row r="66" spans="1:11" ht="12.75">
      <c r="A66" t="s">
        <v>107</v>
      </c>
      <c r="B66" s="5" t="s">
        <v>108</v>
      </c>
      <c r="C66" s="6" t="s">
        <v>92</v>
      </c>
      <c r="D66" s="6" t="s">
        <v>109</v>
      </c>
      <c r="E66" s="45" t="s">
        <v>102</v>
      </c>
      <c r="F66" s="45" t="s">
        <v>92</v>
      </c>
      <c r="G66" s="45" t="s">
        <v>102</v>
      </c>
      <c r="H66" s="180" t="s">
        <v>92</v>
      </c>
      <c r="I66" s="38" t="str">
        <f t="shared" si="3"/>
        <v>Yes</v>
      </c>
      <c r="J66" s="25" t="str">
        <f t="shared" si="4"/>
        <v>Yes</v>
      </c>
      <c r="K66" s="167">
        <f t="shared" si="5"/>
        <v>10</v>
      </c>
    </row>
    <row r="67" spans="1:11" ht="12.75">
      <c r="A67" t="s">
        <v>192</v>
      </c>
      <c r="B67" s="5" t="s">
        <v>193</v>
      </c>
      <c r="C67" s="6" t="s">
        <v>86</v>
      </c>
      <c r="D67" s="6" t="s">
        <v>194</v>
      </c>
      <c r="E67" s="45"/>
      <c r="F67" s="49"/>
      <c r="G67" s="45"/>
      <c r="H67" s="180"/>
      <c r="I67" s="38" t="str">
        <f aca="true" t="shared" si="6" ref="I67:I98">IF(E67="","No",IF(F67="","No","Yes"))</f>
        <v>No</v>
      </c>
      <c r="J67" s="25" t="str">
        <f aca="true" t="shared" si="7" ref="J67:J98">IF(H67="","No",IF(K67="","No","Yes"))</f>
        <v>No</v>
      </c>
      <c r="K67" s="167">
        <f aca="true" t="shared" si="8" ref="K67:K98">IF(E67="",0,IF(F67="",0,5)+IF(G67="",0,IF(H67="",0,5)))</f>
        <v>0</v>
      </c>
    </row>
    <row r="68" spans="1:11" ht="12.75">
      <c r="A68" t="s">
        <v>38</v>
      </c>
      <c r="B68" s="5" t="s">
        <v>39</v>
      </c>
      <c r="C68" s="6" t="s">
        <v>40</v>
      </c>
      <c r="D68" s="6" t="s">
        <v>41</v>
      </c>
      <c r="E68" s="49" t="s">
        <v>357</v>
      </c>
      <c r="F68" s="49" t="s">
        <v>8</v>
      </c>
      <c r="G68" s="49" t="s">
        <v>357</v>
      </c>
      <c r="H68" s="180" t="s">
        <v>8</v>
      </c>
      <c r="I68" s="38" t="str">
        <f t="shared" si="6"/>
        <v>Yes</v>
      </c>
      <c r="J68" s="25" t="str">
        <f t="shared" si="7"/>
        <v>Yes</v>
      </c>
      <c r="K68" s="167">
        <f t="shared" si="8"/>
        <v>10</v>
      </c>
    </row>
    <row r="69" spans="1:11" ht="12.75">
      <c r="A69" t="s">
        <v>293</v>
      </c>
      <c r="B69" s="5" t="s">
        <v>98</v>
      </c>
      <c r="C69" s="6" t="s">
        <v>222</v>
      </c>
      <c r="D69" s="6" t="s">
        <v>294</v>
      </c>
      <c r="E69" s="45" t="s">
        <v>98</v>
      </c>
      <c r="F69" s="49" t="s">
        <v>591</v>
      </c>
      <c r="G69" s="45" t="s">
        <v>98</v>
      </c>
      <c r="H69" s="180"/>
      <c r="I69" s="38" t="str">
        <f t="shared" si="6"/>
        <v>Yes</v>
      </c>
      <c r="J69" s="25" t="str">
        <f t="shared" si="7"/>
        <v>No</v>
      </c>
      <c r="K69" s="167">
        <f t="shared" si="8"/>
        <v>5</v>
      </c>
    </row>
    <row r="70" spans="1:11" ht="12.75">
      <c r="A70" t="s">
        <v>295</v>
      </c>
      <c r="B70" s="5" t="s">
        <v>120</v>
      </c>
      <c r="C70" s="6" t="s">
        <v>213</v>
      </c>
      <c r="D70" s="6" t="s">
        <v>296</v>
      </c>
      <c r="E70" s="45"/>
      <c r="F70" s="49"/>
      <c r="G70" s="45"/>
      <c r="H70" s="180"/>
      <c r="I70" s="38" t="str">
        <f t="shared" si="6"/>
        <v>No</v>
      </c>
      <c r="J70" s="25" t="str">
        <f t="shared" si="7"/>
        <v>No</v>
      </c>
      <c r="K70" s="167">
        <f t="shared" si="8"/>
        <v>0</v>
      </c>
    </row>
    <row r="71" spans="1:11" ht="12.75">
      <c r="A71" t="s">
        <v>110</v>
      </c>
      <c r="B71" s="5" t="s">
        <v>98</v>
      </c>
      <c r="C71" s="6" t="s">
        <v>45</v>
      </c>
      <c r="D71" s="6" t="s">
        <v>111</v>
      </c>
      <c r="E71" s="45" t="s">
        <v>98</v>
      </c>
      <c r="F71" s="49" t="s">
        <v>45</v>
      </c>
      <c r="G71" s="45" t="s">
        <v>98</v>
      </c>
      <c r="H71" s="180" t="s">
        <v>45</v>
      </c>
      <c r="I71" s="38" t="str">
        <f t="shared" si="6"/>
        <v>Yes</v>
      </c>
      <c r="J71" s="25" t="str">
        <f t="shared" si="7"/>
        <v>Yes</v>
      </c>
      <c r="K71" s="167">
        <f t="shared" si="8"/>
        <v>10</v>
      </c>
    </row>
    <row r="72" spans="1:11" ht="12.75">
      <c r="A72" t="s">
        <v>113</v>
      </c>
      <c r="B72" s="5" t="s">
        <v>51</v>
      </c>
      <c r="C72" s="6" t="s">
        <v>114</v>
      </c>
      <c r="D72" s="6" t="s">
        <v>115</v>
      </c>
      <c r="E72" s="45" t="s">
        <v>51</v>
      </c>
      <c r="F72" s="49" t="s">
        <v>93</v>
      </c>
      <c r="G72" s="45" t="s">
        <v>51</v>
      </c>
      <c r="H72" s="180" t="s">
        <v>93</v>
      </c>
      <c r="I72" s="38" t="str">
        <f t="shared" si="6"/>
        <v>Yes</v>
      </c>
      <c r="J72" s="25" t="str">
        <f t="shared" si="7"/>
        <v>Yes</v>
      </c>
      <c r="K72" s="167">
        <f t="shared" si="8"/>
        <v>10</v>
      </c>
    </row>
    <row r="73" spans="1:11" ht="12.75">
      <c r="A73" t="s">
        <v>116</v>
      </c>
      <c r="B73" s="5" t="s">
        <v>98</v>
      </c>
      <c r="C73" s="6" t="s">
        <v>4</v>
      </c>
      <c r="D73" s="6" t="s">
        <v>117</v>
      </c>
      <c r="E73" s="45" t="s">
        <v>98</v>
      </c>
      <c r="F73" s="49" t="s">
        <v>4</v>
      </c>
      <c r="G73" s="45" t="s">
        <v>98</v>
      </c>
      <c r="H73" s="180" t="s">
        <v>4</v>
      </c>
      <c r="I73" s="38" t="str">
        <f t="shared" si="6"/>
        <v>Yes</v>
      </c>
      <c r="J73" s="25" t="str">
        <f t="shared" si="7"/>
        <v>Yes</v>
      </c>
      <c r="K73" s="167">
        <f t="shared" si="8"/>
        <v>10</v>
      </c>
    </row>
    <row r="74" spans="1:11" ht="12.75">
      <c r="A74" t="s">
        <v>180</v>
      </c>
      <c r="B74" s="5" t="s">
        <v>51</v>
      </c>
      <c r="C74" s="6" t="s">
        <v>171</v>
      </c>
      <c r="D74" s="6" t="s">
        <v>181</v>
      </c>
      <c r="E74" s="45" t="s">
        <v>51</v>
      </c>
      <c r="F74" s="49" t="s">
        <v>171</v>
      </c>
      <c r="G74" s="45" t="s">
        <v>51</v>
      </c>
      <c r="H74" s="180"/>
      <c r="I74" s="38" t="str">
        <f t="shared" si="6"/>
        <v>Yes</v>
      </c>
      <c r="J74" s="25" t="str">
        <f t="shared" si="7"/>
        <v>No</v>
      </c>
      <c r="K74" s="167">
        <f t="shared" si="8"/>
        <v>5</v>
      </c>
    </row>
    <row r="75" spans="1:11" ht="12.75">
      <c r="A75" t="s">
        <v>85</v>
      </c>
      <c r="B75" s="5" t="s">
        <v>86</v>
      </c>
      <c r="C75" s="6" t="s">
        <v>4</v>
      </c>
      <c r="D75" s="6" t="s">
        <v>87</v>
      </c>
      <c r="E75" s="45" t="s">
        <v>86</v>
      </c>
      <c r="F75" s="49" t="s">
        <v>349</v>
      </c>
      <c r="G75" s="42" t="s">
        <v>86</v>
      </c>
      <c r="H75" s="180"/>
      <c r="I75" s="38" t="str">
        <f t="shared" si="6"/>
        <v>Yes</v>
      </c>
      <c r="J75" s="25" t="str">
        <f t="shared" si="7"/>
        <v>No</v>
      </c>
      <c r="K75" s="167">
        <f t="shared" si="8"/>
        <v>5</v>
      </c>
    </row>
    <row r="76" spans="1:11" ht="12.75">
      <c r="A76" t="s">
        <v>248</v>
      </c>
      <c r="B76" s="5" t="s">
        <v>132</v>
      </c>
      <c r="C76" s="6" t="s">
        <v>98</v>
      </c>
      <c r="D76" s="6" t="s">
        <v>249</v>
      </c>
      <c r="E76" s="45"/>
      <c r="F76" s="49"/>
      <c r="G76" s="45"/>
      <c r="H76" s="180"/>
      <c r="I76" s="38" t="str">
        <f t="shared" si="6"/>
        <v>No</v>
      </c>
      <c r="J76" s="25" t="str">
        <f t="shared" si="7"/>
        <v>No</v>
      </c>
      <c r="K76" s="167">
        <f t="shared" si="8"/>
        <v>0</v>
      </c>
    </row>
    <row r="77" spans="1:11" ht="12.75">
      <c r="A77" t="s">
        <v>250</v>
      </c>
      <c r="B77" s="5" t="s">
        <v>251</v>
      </c>
      <c r="C77" s="6" t="s">
        <v>98</v>
      </c>
      <c r="D77" s="6" t="s">
        <v>252</v>
      </c>
      <c r="E77" s="45"/>
      <c r="F77" s="49"/>
      <c r="G77" s="45"/>
      <c r="H77" s="180"/>
      <c r="I77" s="38" t="str">
        <f t="shared" si="6"/>
        <v>No</v>
      </c>
      <c r="J77" s="25" t="str">
        <f t="shared" si="7"/>
        <v>No</v>
      </c>
      <c r="K77" s="167">
        <f t="shared" si="8"/>
        <v>0</v>
      </c>
    </row>
    <row r="78" spans="1:11" ht="12.75">
      <c r="A78" t="s">
        <v>253</v>
      </c>
      <c r="B78" s="5" t="s">
        <v>239</v>
      </c>
      <c r="C78" s="6" t="s">
        <v>4</v>
      </c>
      <c r="D78" s="6" t="s">
        <v>254</v>
      </c>
      <c r="E78" s="45" t="s">
        <v>239</v>
      </c>
      <c r="F78" s="45" t="s">
        <v>4</v>
      </c>
      <c r="G78" s="45" t="s">
        <v>239</v>
      </c>
      <c r="H78" s="180" t="s">
        <v>4</v>
      </c>
      <c r="I78" s="38" t="str">
        <f t="shared" si="6"/>
        <v>Yes</v>
      </c>
      <c r="J78" s="25" t="str">
        <f t="shared" si="7"/>
        <v>Yes</v>
      </c>
      <c r="K78" s="167">
        <f t="shared" si="8"/>
        <v>10</v>
      </c>
    </row>
    <row r="79" spans="1:11" ht="12.75">
      <c r="A79" t="s">
        <v>322</v>
      </c>
      <c r="B79" s="5" t="s">
        <v>323</v>
      </c>
      <c r="C79" s="6" t="s">
        <v>164</v>
      </c>
      <c r="D79" s="6" t="s">
        <v>324</v>
      </c>
      <c r="E79" s="45"/>
      <c r="F79" s="49"/>
      <c r="G79" s="45"/>
      <c r="H79" s="180"/>
      <c r="I79" s="38" t="str">
        <f t="shared" si="6"/>
        <v>No</v>
      </c>
      <c r="J79" s="25" t="str">
        <f t="shared" si="7"/>
        <v>No</v>
      </c>
      <c r="K79" s="167">
        <f t="shared" si="8"/>
        <v>0</v>
      </c>
    </row>
    <row r="80" spans="1:11" ht="12.75">
      <c r="A80" t="s">
        <v>20</v>
      </c>
      <c r="B80" s="5" t="s">
        <v>21</v>
      </c>
      <c r="C80" s="6" t="s">
        <v>4</v>
      </c>
      <c r="D80" s="6" t="s">
        <v>22</v>
      </c>
      <c r="E80" s="42" t="s">
        <v>21</v>
      </c>
      <c r="F80" s="48" t="s">
        <v>357</v>
      </c>
      <c r="G80" s="42" t="s">
        <v>21</v>
      </c>
      <c r="H80" s="180" t="s">
        <v>357</v>
      </c>
      <c r="I80" s="5" t="str">
        <f t="shared" si="6"/>
        <v>Yes</v>
      </c>
      <c r="J80" s="25" t="str">
        <f t="shared" si="7"/>
        <v>Yes</v>
      </c>
      <c r="K80" s="167">
        <f t="shared" si="8"/>
        <v>10</v>
      </c>
    </row>
    <row r="81" spans="1:11" ht="12.75">
      <c r="A81" t="s">
        <v>195</v>
      </c>
      <c r="B81" s="5" t="s">
        <v>196</v>
      </c>
      <c r="C81" s="6" t="s">
        <v>197</v>
      </c>
      <c r="D81" s="6" t="s">
        <v>198</v>
      </c>
      <c r="E81" s="45"/>
      <c r="F81" s="49"/>
      <c r="G81" s="45"/>
      <c r="H81" s="180"/>
      <c r="I81" s="38" t="str">
        <f t="shared" si="6"/>
        <v>No</v>
      </c>
      <c r="J81" s="25" t="str">
        <f t="shared" si="7"/>
        <v>No</v>
      </c>
      <c r="K81" s="167">
        <f t="shared" si="8"/>
        <v>0</v>
      </c>
    </row>
    <row r="82" spans="1:11" ht="12.75">
      <c r="A82" t="s">
        <v>23</v>
      </c>
      <c r="B82" s="5" t="s">
        <v>21</v>
      </c>
      <c r="C82" s="6" t="s">
        <v>4</v>
      </c>
      <c r="D82" s="6" t="s">
        <v>24</v>
      </c>
      <c r="E82" s="42" t="s">
        <v>347</v>
      </c>
      <c r="F82" s="45" t="s">
        <v>8</v>
      </c>
      <c r="G82" s="42" t="s">
        <v>347</v>
      </c>
      <c r="H82" s="180" t="s">
        <v>8</v>
      </c>
      <c r="I82" s="38" t="str">
        <f t="shared" si="6"/>
        <v>Yes</v>
      </c>
      <c r="J82" s="25" t="str">
        <f t="shared" si="7"/>
        <v>Yes</v>
      </c>
      <c r="K82" s="167">
        <f t="shared" si="8"/>
        <v>10</v>
      </c>
    </row>
    <row r="83" spans="1:11" ht="12.75">
      <c r="A83" t="s">
        <v>199</v>
      </c>
      <c r="B83" s="5" t="s">
        <v>39</v>
      </c>
      <c r="C83" s="6" t="s">
        <v>8</v>
      </c>
      <c r="D83" s="6" t="s">
        <v>63</v>
      </c>
      <c r="E83" s="45"/>
      <c r="F83" s="49"/>
      <c r="G83" s="45"/>
      <c r="H83" s="180"/>
      <c r="I83" s="38" t="str">
        <f t="shared" si="6"/>
        <v>No</v>
      </c>
      <c r="J83" s="25" t="str">
        <f t="shared" si="7"/>
        <v>No</v>
      </c>
      <c r="K83" s="167">
        <f t="shared" si="8"/>
        <v>0</v>
      </c>
    </row>
    <row r="84" spans="1:11" ht="12.75">
      <c r="A84" t="s">
        <v>182</v>
      </c>
      <c r="B84" s="5" t="s">
        <v>21</v>
      </c>
      <c r="C84" s="6" t="s">
        <v>119</v>
      </c>
      <c r="D84" s="6" t="s">
        <v>183</v>
      </c>
      <c r="E84" s="45" t="s">
        <v>347</v>
      </c>
      <c r="F84" s="45" t="s">
        <v>119</v>
      </c>
      <c r="G84" s="45" t="s">
        <v>347</v>
      </c>
      <c r="H84" s="180" t="s">
        <v>119</v>
      </c>
      <c r="I84" s="38" t="str">
        <f t="shared" si="6"/>
        <v>Yes</v>
      </c>
      <c r="J84" s="25" t="str">
        <f t="shared" si="7"/>
        <v>Yes</v>
      </c>
      <c r="K84" s="167">
        <f t="shared" si="8"/>
        <v>10</v>
      </c>
    </row>
    <row r="85" spans="1:11" ht="12.75">
      <c r="A85" t="s">
        <v>53</v>
      </c>
      <c r="B85" s="5" t="s">
        <v>54</v>
      </c>
      <c r="C85" s="6" t="s">
        <v>4</v>
      </c>
      <c r="D85" s="6" t="s">
        <v>55</v>
      </c>
      <c r="E85" s="44"/>
      <c r="F85" s="49"/>
      <c r="G85" s="42"/>
      <c r="H85" s="180"/>
      <c r="I85" s="38" t="str">
        <f t="shared" si="6"/>
        <v>No</v>
      </c>
      <c r="J85" s="25" t="str">
        <f t="shared" si="7"/>
        <v>No</v>
      </c>
      <c r="K85" s="167">
        <f t="shared" si="8"/>
        <v>0</v>
      </c>
    </row>
    <row r="86" spans="1:11" ht="12.75">
      <c r="A86" t="s">
        <v>65</v>
      </c>
      <c r="B86" s="5" t="s">
        <v>66</v>
      </c>
      <c r="C86" s="6" t="s">
        <v>4</v>
      </c>
      <c r="D86" s="6" t="s">
        <v>67</v>
      </c>
      <c r="E86" s="42" t="s">
        <v>4</v>
      </c>
      <c r="F86" s="49" t="s">
        <v>66</v>
      </c>
      <c r="G86" s="42" t="s">
        <v>4</v>
      </c>
      <c r="H86" s="180"/>
      <c r="I86" s="38" t="str">
        <f t="shared" si="6"/>
        <v>Yes</v>
      </c>
      <c r="J86" s="25" t="str">
        <f t="shared" si="7"/>
        <v>No</v>
      </c>
      <c r="K86" s="167">
        <f t="shared" si="8"/>
        <v>5</v>
      </c>
    </row>
    <row r="87" spans="1:11" ht="12.75">
      <c r="A87" t="s">
        <v>140</v>
      </c>
      <c r="B87" s="5" t="s">
        <v>141</v>
      </c>
      <c r="C87" s="6" t="s">
        <v>86</v>
      </c>
      <c r="D87" s="6" t="s">
        <v>142</v>
      </c>
      <c r="E87" s="42" t="s">
        <v>86</v>
      </c>
      <c r="F87" s="48" t="s">
        <v>594</v>
      </c>
      <c r="G87" s="45" t="s">
        <v>86</v>
      </c>
      <c r="H87" s="180"/>
      <c r="I87" s="5" t="str">
        <f t="shared" si="6"/>
        <v>Yes</v>
      </c>
      <c r="J87" s="25" t="str">
        <f t="shared" si="7"/>
        <v>No</v>
      </c>
      <c r="K87" s="167">
        <f t="shared" si="8"/>
        <v>5</v>
      </c>
    </row>
    <row r="88" spans="1:11" ht="12.75">
      <c r="A88" t="s">
        <v>255</v>
      </c>
      <c r="B88" s="5" t="s">
        <v>256</v>
      </c>
      <c r="C88" s="6" t="s">
        <v>4</v>
      </c>
      <c r="D88" s="6" t="s">
        <v>257</v>
      </c>
      <c r="E88" s="45" t="s">
        <v>4</v>
      </c>
      <c r="F88" s="49" t="s">
        <v>323</v>
      </c>
      <c r="G88" s="45" t="s">
        <v>4</v>
      </c>
      <c r="H88" s="180"/>
      <c r="I88" s="38" t="str">
        <f t="shared" si="6"/>
        <v>Yes</v>
      </c>
      <c r="J88" s="25" t="str">
        <f t="shared" si="7"/>
        <v>No</v>
      </c>
      <c r="K88" s="167">
        <f t="shared" si="8"/>
        <v>5</v>
      </c>
    </row>
    <row r="89" spans="1:11" ht="12.75">
      <c r="A89" t="s">
        <v>297</v>
      </c>
      <c r="B89" s="5" t="s">
        <v>273</v>
      </c>
      <c r="C89" s="6" t="s">
        <v>298</v>
      </c>
      <c r="D89" s="6" t="s">
        <v>299</v>
      </c>
      <c r="E89" s="45" t="s">
        <v>273</v>
      </c>
      <c r="F89" s="49" t="s">
        <v>298</v>
      </c>
      <c r="G89" s="45"/>
      <c r="H89" s="180"/>
      <c r="I89" s="38" t="str">
        <f t="shared" si="6"/>
        <v>Yes</v>
      </c>
      <c r="J89" s="25" t="str">
        <f t="shared" si="7"/>
        <v>No</v>
      </c>
      <c r="K89" s="167">
        <f t="shared" si="8"/>
        <v>5</v>
      </c>
    </row>
    <row r="90" spans="1:11" ht="12.75">
      <c r="A90" t="s">
        <v>300</v>
      </c>
      <c r="B90" s="5" t="s">
        <v>213</v>
      </c>
      <c r="C90" s="6" t="s">
        <v>119</v>
      </c>
      <c r="D90" s="6" t="s">
        <v>301</v>
      </c>
      <c r="E90" s="45"/>
      <c r="F90" s="49"/>
      <c r="G90" s="45"/>
      <c r="H90" s="180"/>
      <c r="I90" s="38" t="str">
        <f t="shared" si="6"/>
        <v>No</v>
      </c>
      <c r="J90" s="25" t="str">
        <f t="shared" si="7"/>
        <v>No</v>
      </c>
      <c r="K90" s="167">
        <f t="shared" si="8"/>
        <v>0</v>
      </c>
    </row>
    <row r="91" spans="1:11" ht="12.75">
      <c r="A91" t="s">
        <v>302</v>
      </c>
      <c r="B91" s="5" t="s">
        <v>213</v>
      </c>
      <c r="C91" s="6" t="s">
        <v>210</v>
      </c>
      <c r="D91" s="6" t="s">
        <v>303</v>
      </c>
      <c r="E91" s="45"/>
      <c r="F91" s="49"/>
      <c r="G91" s="45"/>
      <c r="H91" s="180"/>
      <c r="I91" s="38" t="str">
        <f t="shared" si="6"/>
        <v>No</v>
      </c>
      <c r="J91" s="25" t="str">
        <f t="shared" si="7"/>
        <v>No</v>
      </c>
      <c r="K91" s="167">
        <f t="shared" si="8"/>
        <v>0</v>
      </c>
    </row>
    <row r="92" spans="1:11" ht="12.75">
      <c r="A92" t="s">
        <v>304</v>
      </c>
      <c r="B92" s="5" t="s">
        <v>210</v>
      </c>
      <c r="C92" s="6" t="s">
        <v>119</v>
      </c>
      <c r="D92" s="6" t="s">
        <v>305</v>
      </c>
      <c r="E92" s="45" t="s">
        <v>210</v>
      </c>
      <c r="F92" s="49" t="s">
        <v>350</v>
      </c>
      <c r="G92" s="45" t="s">
        <v>210</v>
      </c>
      <c r="H92" s="180"/>
      <c r="I92" s="38" t="str">
        <f t="shared" si="6"/>
        <v>Yes</v>
      </c>
      <c r="J92" s="25" t="str">
        <f t="shared" si="7"/>
        <v>No</v>
      </c>
      <c r="K92" s="167">
        <f t="shared" si="8"/>
        <v>5</v>
      </c>
    </row>
    <row r="93" spans="1:11" ht="12.75">
      <c r="A93" t="s">
        <v>306</v>
      </c>
      <c r="B93" s="5" t="s">
        <v>120</v>
      </c>
      <c r="C93" s="6" t="s">
        <v>307</v>
      </c>
      <c r="D93" s="6" t="s">
        <v>308</v>
      </c>
      <c r="E93" s="45" t="s">
        <v>120</v>
      </c>
      <c r="F93" s="49" t="s">
        <v>595</v>
      </c>
      <c r="G93" s="45"/>
      <c r="H93" s="180"/>
      <c r="I93" s="38" t="str">
        <f t="shared" si="6"/>
        <v>Yes</v>
      </c>
      <c r="J93" s="25" t="str">
        <f t="shared" si="7"/>
        <v>No</v>
      </c>
      <c r="K93" s="167">
        <f t="shared" si="8"/>
        <v>5</v>
      </c>
    </row>
    <row r="94" spans="1:11" ht="12.75">
      <c r="A94" t="s">
        <v>309</v>
      </c>
      <c r="B94" s="5" t="s">
        <v>310</v>
      </c>
      <c r="C94" s="6" t="s">
        <v>120</v>
      </c>
      <c r="D94" s="6" t="s">
        <v>311</v>
      </c>
      <c r="E94" s="45" t="s">
        <v>596</v>
      </c>
      <c r="F94" s="49" t="s">
        <v>120</v>
      </c>
      <c r="G94" s="45"/>
      <c r="H94" s="180"/>
      <c r="I94" s="38" t="str">
        <f t="shared" si="6"/>
        <v>Yes</v>
      </c>
      <c r="J94" s="25" t="str">
        <f t="shared" si="7"/>
        <v>No</v>
      </c>
      <c r="K94" s="167">
        <f t="shared" si="8"/>
        <v>5</v>
      </c>
    </row>
    <row r="95" spans="1:11" ht="12.75">
      <c r="A95" t="s">
        <v>312</v>
      </c>
      <c r="B95" s="5" t="s">
        <v>189</v>
      </c>
      <c r="C95" s="6" t="s">
        <v>239</v>
      </c>
      <c r="D95" s="6" t="s">
        <v>313</v>
      </c>
      <c r="E95" s="45" t="s">
        <v>239</v>
      </c>
      <c r="F95" s="49" t="s">
        <v>189</v>
      </c>
      <c r="G95" s="45" t="s">
        <v>239</v>
      </c>
      <c r="H95" s="180"/>
      <c r="I95" s="38" t="str">
        <f t="shared" si="6"/>
        <v>Yes</v>
      </c>
      <c r="J95" s="25" t="str">
        <f t="shared" si="7"/>
        <v>No</v>
      </c>
      <c r="K95" s="167">
        <f t="shared" si="8"/>
        <v>5</v>
      </c>
    </row>
    <row r="96" spans="1:11" ht="12.75">
      <c r="A96" t="s">
        <v>314</v>
      </c>
      <c r="B96" s="5" t="s">
        <v>315</v>
      </c>
      <c r="C96" s="6" t="s">
        <v>21</v>
      </c>
      <c r="D96" s="6" t="s">
        <v>316</v>
      </c>
      <c r="E96" s="45"/>
      <c r="F96" s="49"/>
      <c r="G96" s="45"/>
      <c r="H96" s="180"/>
      <c r="I96" s="38" t="str">
        <f t="shared" si="6"/>
        <v>No</v>
      </c>
      <c r="J96" s="25" t="str">
        <f t="shared" si="7"/>
        <v>No</v>
      </c>
      <c r="K96" s="167">
        <f t="shared" si="8"/>
        <v>0</v>
      </c>
    </row>
    <row r="97" spans="1:11" ht="12.75">
      <c r="A97" t="s">
        <v>159</v>
      </c>
      <c r="B97" s="5" t="s">
        <v>21</v>
      </c>
      <c r="C97" s="6" t="s">
        <v>4</v>
      </c>
      <c r="D97" s="6" t="s">
        <v>160</v>
      </c>
      <c r="E97" s="45"/>
      <c r="F97" s="49"/>
      <c r="G97" s="45"/>
      <c r="H97" s="180"/>
      <c r="I97" s="38" t="str">
        <f t="shared" si="6"/>
        <v>No</v>
      </c>
      <c r="J97" s="25" t="str">
        <f t="shared" si="7"/>
        <v>No</v>
      </c>
      <c r="K97" s="167">
        <f t="shared" si="8"/>
        <v>0</v>
      </c>
    </row>
    <row r="98" spans="1:11" ht="12.75">
      <c r="A98" t="s">
        <v>25</v>
      </c>
      <c r="B98" s="5" t="s">
        <v>26</v>
      </c>
      <c r="C98" s="6" t="s">
        <v>4</v>
      </c>
      <c r="D98" s="6" t="s">
        <v>27</v>
      </c>
      <c r="E98" s="42" t="s">
        <v>347</v>
      </c>
      <c r="F98" s="45" t="s">
        <v>4</v>
      </c>
      <c r="G98" s="42" t="s">
        <v>347</v>
      </c>
      <c r="H98" s="180" t="s">
        <v>4</v>
      </c>
      <c r="I98" s="38" t="str">
        <f t="shared" si="6"/>
        <v>Yes</v>
      </c>
      <c r="J98" s="25" t="str">
        <f t="shared" si="7"/>
        <v>Yes</v>
      </c>
      <c r="K98" s="167">
        <f t="shared" si="8"/>
        <v>10</v>
      </c>
    </row>
    <row r="99" spans="1:11" ht="12.75">
      <c r="A99" t="s">
        <v>156</v>
      </c>
      <c r="B99" s="5" t="s">
        <v>3</v>
      </c>
      <c r="C99" s="6" t="s">
        <v>21</v>
      </c>
      <c r="D99" s="6" t="s">
        <v>157</v>
      </c>
      <c r="E99" s="45" t="s">
        <v>347</v>
      </c>
      <c r="F99" s="45" t="s">
        <v>83</v>
      </c>
      <c r="G99" s="45" t="s">
        <v>347</v>
      </c>
      <c r="H99" s="180"/>
      <c r="I99" s="38" t="str">
        <f aca="true" t="shared" si="9" ref="I99:I116">IF(E99="","No",IF(F99="","No","Yes"))</f>
        <v>Yes</v>
      </c>
      <c r="J99" s="25" t="str">
        <f aca="true" t="shared" si="10" ref="J99:J116">IF(H99="","No",IF(K99="","No","Yes"))</f>
        <v>No</v>
      </c>
      <c r="K99" s="167">
        <f aca="true" t="shared" si="11" ref="K99:K116">IF(E99="",0,IF(F99="",0,5)+IF(G99="",0,IF(H99="",0,5)))</f>
        <v>5</v>
      </c>
    </row>
    <row r="100" spans="1:11" ht="12.75">
      <c r="A100" t="s">
        <v>88</v>
      </c>
      <c r="B100" s="5" t="s">
        <v>17</v>
      </c>
      <c r="C100" s="6" t="s">
        <v>21</v>
      </c>
      <c r="D100" s="6" t="s">
        <v>89</v>
      </c>
      <c r="E100" s="45" t="s">
        <v>347</v>
      </c>
      <c r="F100" s="45" t="s">
        <v>17</v>
      </c>
      <c r="G100" s="45" t="s">
        <v>347</v>
      </c>
      <c r="H100" s="180"/>
      <c r="I100" s="38" t="str">
        <f t="shared" si="9"/>
        <v>Yes</v>
      </c>
      <c r="J100" s="25" t="str">
        <f t="shared" si="10"/>
        <v>No</v>
      </c>
      <c r="K100" s="167">
        <f t="shared" si="11"/>
        <v>5</v>
      </c>
    </row>
    <row r="101" spans="1:11" ht="12.75">
      <c r="A101" t="s">
        <v>200</v>
      </c>
      <c r="B101" s="5" t="s">
        <v>201</v>
      </c>
      <c r="C101" s="6" t="s">
        <v>26</v>
      </c>
      <c r="D101" s="6" t="s">
        <v>202</v>
      </c>
      <c r="E101" s="45"/>
      <c r="F101" s="49"/>
      <c r="G101" s="45"/>
      <c r="H101" s="180"/>
      <c r="I101" s="38" t="str">
        <f t="shared" si="9"/>
        <v>No</v>
      </c>
      <c r="J101" s="25" t="str">
        <f t="shared" si="10"/>
        <v>No</v>
      </c>
      <c r="K101" s="167">
        <f t="shared" si="11"/>
        <v>0</v>
      </c>
    </row>
    <row r="102" spans="1:11" ht="12.75">
      <c r="A102" t="s">
        <v>264</v>
      </c>
      <c r="B102" s="5" t="s">
        <v>86</v>
      </c>
      <c r="C102" s="6" t="s">
        <v>21</v>
      </c>
      <c r="D102" s="6" t="s">
        <v>265</v>
      </c>
      <c r="E102" s="45"/>
      <c r="F102" s="49"/>
      <c r="G102" s="45"/>
      <c r="H102" s="180"/>
      <c r="I102" s="38" t="str">
        <f t="shared" si="9"/>
        <v>No</v>
      </c>
      <c r="J102" s="25" t="str">
        <f t="shared" si="10"/>
        <v>No</v>
      </c>
      <c r="K102" s="167">
        <f t="shared" si="11"/>
        <v>0</v>
      </c>
    </row>
    <row r="103" spans="1:11" ht="12.75">
      <c r="A103" t="s">
        <v>259</v>
      </c>
      <c r="B103" s="5" t="s">
        <v>225</v>
      </c>
      <c r="C103" s="6" t="s">
        <v>21</v>
      </c>
      <c r="D103" s="6" t="s">
        <v>260</v>
      </c>
      <c r="E103" s="45"/>
      <c r="F103" s="49"/>
      <c r="G103" s="45"/>
      <c r="H103" s="180"/>
      <c r="I103" s="38" t="str">
        <f t="shared" si="9"/>
        <v>No</v>
      </c>
      <c r="J103" s="25" t="str">
        <f t="shared" si="10"/>
        <v>No</v>
      </c>
      <c r="K103" s="167">
        <f t="shared" si="11"/>
        <v>0</v>
      </c>
    </row>
    <row r="104" spans="1:11" ht="12.75">
      <c r="A104" t="s">
        <v>203</v>
      </c>
      <c r="B104" s="5" t="s">
        <v>129</v>
      </c>
      <c r="C104" s="6" t="s">
        <v>105</v>
      </c>
      <c r="D104" s="6" t="s">
        <v>204</v>
      </c>
      <c r="E104" s="45" t="s">
        <v>129</v>
      </c>
      <c r="F104" s="49" t="s">
        <v>105</v>
      </c>
      <c r="G104" s="45"/>
      <c r="H104" s="180"/>
      <c r="I104" s="38" t="str">
        <f t="shared" si="9"/>
        <v>Yes</v>
      </c>
      <c r="J104" s="25" t="str">
        <f t="shared" si="10"/>
        <v>No</v>
      </c>
      <c r="K104" s="167">
        <f t="shared" si="11"/>
        <v>5</v>
      </c>
    </row>
    <row r="105" spans="1:11" ht="12.75">
      <c r="A105" t="s">
        <v>266</v>
      </c>
      <c r="B105" s="5" t="s">
        <v>17</v>
      </c>
      <c r="C105" s="6" t="s">
        <v>267</v>
      </c>
      <c r="D105" s="6" t="s">
        <v>268</v>
      </c>
      <c r="E105" s="45"/>
      <c r="F105" s="49"/>
      <c r="G105" s="45"/>
      <c r="H105" s="180"/>
      <c r="I105" s="38" t="str">
        <f t="shared" si="9"/>
        <v>No</v>
      </c>
      <c r="J105" s="25" t="str">
        <f t="shared" si="10"/>
        <v>No</v>
      </c>
      <c r="K105" s="167">
        <f t="shared" si="11"/>
        <v>0</v>
      </c>
    </row>
    <row r="106" spans="1:11" ht="12.75">
      <c r="A106" t="s">
        <v>205</v>
      </c>
      <c r="B106" s="5" t="s">
        <v>129</v>
      </c>
      <c r="C106" s="6" t="s">
        <v>83</v>
      </c>
      <c r="D106" s="6" t="s">
        <v>206</v>
      </c>
      <c r="E106" s="45" t="s">
        <v>129</v>
      </c>
      <c r="F106" s="49" t="s">
        <v>83</v>
      </c>
      <c r="G106" s="45"/>
      <c r="H106" s="180"/>
      <c r="I106" s="38" t="str">
        <f t="shared" si="9"/>
        <v>Yes</v>
      </c>
      <c r="J106" s="25" t="str">
        <f t="shared" si="10"/>
        <v>No</v>
      </c>
      <c r="K106" s="167">
        <f t="shared" si="11"/>
        <v>5</v>
      </c>
    </row>
    <row r="107" spans="1:11" ht="12.75">
      <c r="A107" t="s">
        <v>317</v>
      </c>
      <c r="B107" s="5" t="s">
        <v>318</v>
      </c>
      <c r="C107" s="6" t="s">
        <v>319</v>
      </c>
      <c r="D107" s="6" t="s">
        <v>325</v>
      </c>
      <c r="E107" s="45"/>
      <c r="F107" s="49"/>
      <c r="G107" s="45"/>
      <c r="H107" s="180"/>
      <c r="I107" s="38" t="str">
        <f t="shared" si="9"/>
        <v>No</v>
      </c>
      <c r="J107" s="25" t="str">
        <f t="shared" si="10"/>
        <v>No</v>
      </c>
      <c r="K107" s="167">
        <f t="shared" si="11"/>
        <v>0</v>
      </c>
    </row>
    <row r="108" spans="1:11" ht="12.75">
      <c r="A108" t="s">
        <v>320</v>
      </c>
      <c r="B108" s="5" t="s">
        <v>321</v>
      </c>
      <c r="C108" s="6" t="s">
        <v>102</v>
      </c>
      <c r="D108" s="6" t="s">
        <v>326</v>
      </c>
      <c r="E108" s="45"/>
      <c r="F108" s="49"/>
      <c r="G108" s="45"/>
      <c r="H108" s="180"/>
      <c r="I108" s="38" t="str">
        <f t="shared" si="9"/>
        <v>No</v>
      </c>
      <c r="J108" s="25" t="str">
        <f t="shared" si="10"/>
        <v>No</v>
      </c>
      <c r="K108" s="167">
        <f t="shared" si="11"/>
        <v>0</v>
      </c>
    </row>
    <row r="109" spans="1:11" ht="12.75">
      <c r="A109" t="s">
        <v>143</v>
      </c>
      <c r="B109" s="5" t="s">
        <v>3</v>
      </c>
      <c r="C109" s="6" t="s">
        <v>105</v>
      </c>
      <c r="D109" s="6" t="s">
        <v>144</v>
      </c>
      <c r="E109" s="45" t="s">
        <v>706</v>
      </c>
      <c r="F109" s="45" t="s">
        <v>86</v>
      </c>
      <c r="G109" s="45" t="s">
        <v>706</v>
      </c>
      <c r="H109" s="180" t="s">
        <v>86</v>
      </c>
      <c r="I109" s="38" t="str">
        <f t="shared" si="9"/>
        <v>Yes</v>
      </c>
      <c r="J109" s="25" t="str">
        <f t="shared" si="10"/>
        <v>Yes</v>
      </c>
      <c r="K109" s="167">
        <f t="shared" si="11"/>
        <v>10</v>
      </c>
    </row>
    <row r="110" spans="1:11" ht="12.75">
      <c r="A110" t="s">
        <v>145</v>
      </c>
      <c r="B110" s="5" t="s">
        <v>105</v>
      </c>
      <c r="C110" s="6" t="s">
        <v>21</v>
      </c>
      <c r="D110" s="6" t="s">
        <v>146</v>
      </c>
      <c r="E110" s="45" t="s">
        <v>347</v>
      </c>
      <c r="F110" s="45" t="s">
        <v>105</v>
      </c>
      <c r="G110" s="45" t="s">
        <v>347</v>
      </c>
      <c r="H110" s="180"/>
      <c r="I110" s="38" t="str">
        <f t="shared" si="9"/>
        <v>Yes</v>
      </c>
      <c r="J110" s="25" t="str">
        <f t="shared" si="10"/>
        <v>No</v>
      </c>
      <c r="K110" s="167">
        <f t="shared" si="11"/>
        <v>5</v>
      </c>
    </row>
    <row r="111" spans="1:11" ht="12.75">
      <c r="A111" t="s">
        <v>31</v>
      </c>
      <c r="B111" s="5" t="s">
        <v>3</v>
      </c>
      <c r="C111" s="6" t="s">
        <v>4</v>
      </c>
      <c r="D111" s="6" t="s">
        <v>32</v>
      </c>
      <c r="E111" s="42" t="s">
        <v>625</v>
      </c>
      <c r="F111" s="45" t="s">
        <v>4</v>
      </c>
      <c r="G111" s="42" t="s">
        <v>625</v>
      </c>
      <c r="H111" s="180" t="s">
        <v>4</v>
      </c>
      <c r="I111" s="38" t="str">
        <f t="shared" si="9"/>
        <v>Yes</v>
      </c>
      <c r="J111" s="25" t="str">
        <f t="shared" si="10"/>
        <v>Yes</v>
      </c>
      <c r="K111" s="167">
        <f t="shared" si="11"/>
        <v>10</v>
      </c>
    </row>
    <row r="112" spans="1:11" ht="12.75">
      <c r="A112" t="s">
        <v>269</v>
      </c>
      <c r="B112" s="5" t="s">
        <v>270</v>
      </c>
      <c r="C112" s="6" t="s">
        <v>21</v>
      </c>
      <c r="D112" s="6" t="s">
        <v>271</v>
      </c>
      <c r="E112" s="45"/>
      <c r="F112" s="49"/>
      <c r="G112" s="45"/>
      <c r="H112" s="180"/>
      <c r="I112" s="38" t="str">
        <f t="shared" si="9"/>
        <v>No</v>
      </c>
      <c r="J112" s="25" t="str">
        <f t="shared" si="10"/>
        <v>No</v>
      </c>
      <c r="K112" s="167">
        <f t="shared" si="11"/>
        <v>0</v>
      </c>
    </row>
    <row r="113" spans="1:11" ht="12.75">
      <c r="A113" t="s">
        <v>42</v>
      </c>
      <c r="B113" s="18" t="s">
        <v>3</v>
      </c>
      <c r="C113" s="19" t="s">
        <v>21</v>
      </c>
      <c r="D113" s="6" t="s">
        <v>43</v>
      </c>
      <c r="E113" s="45" t="s">
        <v>706</v>
      </c>
      <c r="F113" s="45" t="s">
        <v>347</v>
      </c>
      <c r="G113" s="45" t="s">
        <v>706</v>
      </c>
      <c r="H113" s="180" t="s">
        <v>347</v>
      </c>
      <c r="I113" s="38" t="str">
        <f t="shared" si="9"/>
        <v>Yes</v>
      </c>
      <c r="J113" s="25" t="str">
        <f t="shared" si="10"/>
        <v>Yes</v>
      </c>
      <c r="K113" s="167">
        <f t="shared" si="11"/>
        <v>10</v>
      </c>
    </row>
    <row r="114" spans="1:11" ht="12.75">
      <c r="A114" t="s">
        <v>56</v>
      </c>
      <c r="B114" s="18" t="s">
        <v>57</v>
      </c>
      <c r="C114" s="19" t="s">
        <v>4</v>
      </c>
      <c r="D114" s="6" t="s">
        <v>58</v>
      </c>
      <c r="E114" s="42" t="s">
        <v>4</v>
      </c>
      <c r="F114" s="49" t="s">
        <v>57</v>
      </c>
      <c r="G114" s="42" t="s">
        <v>4</v>
      </c>
      <c r="H114" s="180"/>
      <c r="I114" s="38" t="str">
        <f t="shared" si="9"/>
        <v>Yes</v>
      </c>
      <c r="J114" s="25" t="str">
        <f t="shared" si="10"/>
        <v>No</v>
      </c>
      <c r="K114" s="167">
        <f t="shared" si="11"/>
        <v>5</v>
      </c>
    </row>
    <row r="115" spans="1:11" ht="12.75">
      <c r="A115" t="s">
        <v>69</v>
      </c>
      <c r="B115" s="5" t="s">
        <v>70</v>
      </c>
      <c r="C115" s="6" t="s">
        <v>4</v>
      </c>
      <c r="D115" s="6" t="s">
        <v>71</v>
      </c>
      <c r="E115" s="42" t="s">
        <v>4</v>
      </c>
      <c r="F115" s="45" t="s">
        <v>351</v>
      </c>
      <c r="G115" s="42" t="s">
        <v>4</v>
      </c>
      <c r="H115" s="180"/>
      <c r="I115" s="38" t="str">
        <f t="shared" si="9"/>
        <v>Yes</v>
      </c>
      <c r="J115" s="25" t="str">
        <f t="shared" si="10"/>
        <v>No</v>
      </c>
      <c r="K115" s="167">
        <f t="shared" si="11"/>
        <v>5</v>
      </c>
    </row>
    <row r="116" spans="1:11" ht="13.5" thickBot="1">
      <c r="A116" t="s">
        <v>147</v>
      </c>
      <c r="B116" s="15" t="s">
        <v>148</v>
      </c>
      <c r="C116" s="16" t="s">
        <v>4</v>
      </c>
      <c r="D116" s="16" t="s">
        <v>149</v>
      </c>
      <c r="E116" s="46"/>
      <c r="F116" s="51"/>
      <c r="G116" s="46"/>
      <c r="H116" s="178"/>
      <c r="I116" s="36" t="str">
        <f t="shared" si="9"/>
        <v>No</v>
      </c>
      <c r="J116" s="171" t="str">
        <f t="shared" si="10"/>
        <v>No</v>
      </c>
      <c r="K116" s="168">
        <f t="shared" si="11"/>
        <v>0</v>
      </c>
    </row>
    <row r="117" spans="2:4" ht="12.75">
      <c r="B117" s="21"/>
      <c r="C117" s="21"/>
      <c r="D117" s="21"/>
    </row>
    <row r="118" spans="2:4" ht="12.75">
      <c r="B118" s="23"/>
      <c r="C118" s="23"/>
      <c r="D118" s="23"/>
    </row>
    <row r="119" spans="2:4" ht="12.75">
      <c r="B119" s="24"/>
      <c r="C119" s="24"/>
      <c r="D119" s="24"/>
    </row>
    <row r="120" spans="2:4" ht="12.75">
      <c r="B120" s="24"/>
      <c r="C120" s="24"/>
      <c r="D120" s="24"/>
    </row>
    <row r="121" spans="2:4" ht="12.75">
      <c r="B121" s="2"/>
      <c r="C121" s="2"/>
      <c r="D121" s="24"/>
    </row>
    <row r="122" spans="2:4" ht="12.75">
      <c r="B122" s="2"/>
      <c r="C122" s="2"/>
      <c r="D122" s="24"/>
    </row>
  </sheetData>
  <sheetProtection/>
  <mergeCells count="2">
    <mergeCell ref="B1:D1"/>
    <mergeCell ref="E1:H1"/>
  </mergeCells>
  <printOptions/>
  <pageMargins left="0.75" right="0.75" top="1" bottom="1" header="0.5" footer="0.5"/>
  <pageSetup horizontalDpi="600" verticalDpi="600" orientation="landscape" scale="72" r:id="rId1"/>
  <headerFooter alignWithMargins="0">
    <oddHeader>&amp;CConnections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5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16.7109375" style="1" customWidth="1"/>
    <col min="3" max="3" width="11.28125" style="1" bestFit="1" customWidth="1"/>
    <col min="4" max="4" width="11.140625" style="1" bestFit="1" customWidth="1"/>
    <col min="5" max="5" width="11.28125" style="1" bestFit="1" customWidth="1"/>
    <col min="6" max="6" width="10.140625" style="1" bestFit="1" customWidth="1"/>
    <col min="7" max="8" width="11.140625" style="1" bestFit="1" customWidth="1"/>
    <col min="9" max="9" width="11.28125" style="1" bestFit="1" customWidth="1"/>
    <col min="10" max="10" width="11.140625" style="1" bestFit="1" customWidth="1"/>
    <col min="11" max="11" width="11.28125" style="1" bestFit="1" customWidth="1"/>
    <col min="12" max="13" width="11.140625" style="1" bestFit="1" customWidth="1"/>
    <col min="14" max="14" width="19.7109375" style="79" customWidth="1"/>
    <col min="15" max="15" width="10.7109375" style="79" customWidth="1"/>
    <col min="16" max="17" width="10.28125" style="0" bestFit="1" customWidth="1"/>
    <col min="18" max="18" width="16.57421875" style="79" bestFit="1" customWidth="1"/>
    <col min="19" max="19" width="21.140625" style="79" customWidth="1"/>
    <col min="20" max="20" width="8.421875" style="79" bestFit="1" customWidth="1"/>
    <col min="21" max="21" width="9.28125" style="0" customWidth="1"/>
    <col min="22" max="22" width="19.140625" style="0" customWidth="1"/>
    <col min="23" max="23" width="7.8515625" style="0" customWidth="1"/>
    <col min="24" max="24" width="10.140625" style="0" customWidth="1"/>
    <col min="25" max="25" width="8.57421875" style="0" customWidth="1"/>
    <col min="29" max="29" width="9.28125" style="0" bestFit="1" customWidth="1"/>
  </cols>
  <sheetData>
    <row r="1" spans="14:26" ht="12.75">
      <c r="N1" s="405" t="s">
        <v>392</v>
      </c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</row>
    <row r="2" spans="14:31" ht="12.75">
      <c r="N2" s="398" t="s">
        <v>744</v>
      </c>
      <c r="O2" s="398"/>
      <c r="P2" s="163"/>
      <c r="Q2" s="163"/>
      <c r="R2" s="398" t="s">
        <v>745</v>
      </c>
      <c r="S2" s="398"/>
      <c r="T2" s="398"/>
      <c r="U2" s="163"/>
      <c r="V2" s="163"/>
      <c r="W2" s="163"/>
      <c r="X2" s="163"/>
      <c r="Y2" s="398" t="s">
        <v>394</v>
      </c>
      <c r="Z2" s="398"/>
      <c r="AC2" s="398" t="s">
        <v>393</v>
      </c>
      <c r="AD2" s="398"/>
      <c r="AE2" s="398"/>
    </row>
    <row r="3" spans="2:31" ht="12.75">
      <c r="B3" s="81"/>
      <c r="C3"/>
      <c r="D3"/>
      <c r="E3"/>
      <c r="F3"/>
      <c r="G3"/>
      <c r="H3"/>
      <c r="I3"/>
      <c r="J3"/>
      <c r="K3"/>
      <c r="L3"/>
      <c r="M3"/>
      <c r="N3" s="398"/>
      <c r="O3" s="398"/>
      <c r="P3" s="163"/>
      <c r="Q3" s="163"/>
      <c r="R3" s="398"/>
      <c r="S3" s="398"/>
      <c r="T3" s="398"/>
      <c r="U3" s="163"/>
      <c r="V3" s="163"/>
      <c r="W3" s="163"/>
      <c r="X3" s="163"/>
      <c r="Y3" s="398"/>
      <c r="Z3" s="398"/>
      <c r="AC3" s="398"/>
      <c r="AD3" s="398"/>
      <c r="AE3" s="398"/>
    </row>
    <row r="4" spans="1:31" ht="166.5">
      <c r="A4" s="360" t="s">
        <v>747</v>
      </c>
      <c r="B4" s="165" t="s">
        <v>330</v>
      </c>
      <c r="C4" s="80" t="s">
        <v>722</v>
      </c>
      <c r="D4" s="80" t="s">
        <v>723</v>
      </c>
      <c r="E4" s="80" t="s">
        <v>724</v>
      </c>
      <c r="F4" s="80" t="s">
        <v>725</v>
      </c>
      <c r="G4" s="80" t="s">
        <v>726</v>
      </c>
      <c r="H4" s="80" t="s">
        <v>727</v>
      </c>
      <c r="I4" s="80" t="s">
        <v>728</v>
      </c>
      <c r="J4" s="80" t="s">
        <v>729</v>
      </c>
      <c r="K4" s="80" t="s">
        <v>730</v>
      </c>
      <c r="L4" s="80" t="s">
        <v>731</v>
      </c>
      <c r="M4" s="80" t="s">
        <v>573</v>
      </c>
      <c r="N4" s="164" t="s">
        <v>358</v>
      </c>
      <c r="O4" s="164" t="s">
        <v>395</v>
      </c>
      <c r="P4" s="164" t="s">
        <v>358</v>
      </c>
      <c r="Q4" s="164" t="s">
        <v>395</v>
      </c>
      <c r="R4" s="164" t="s">
        <v>358</v>
      </c>
      <c r="S4" s="164" t="s">
        <v>395</v>
      </c>
      <c r="T4" s="164" t="s">
        <v>360</v>
      </c>
      <c r="U4" s="164" t="s">
        <v>358</v>
      </c>
      <c r="V4" s="164" t="s">
        <v>395</v>
      </c>
      <c r="W4" s="164" t="s">
        <v>584</v>
      </c>
      <c r="X4" s="164" t="s">
        <v>583</v>
      </c>
      <c r="Y4" s="404" t="s">
        <v>396</v>
      </c>
      <c r="Z4" s="404"/>
      <c r="AC4" s="164" t="s">
        <v>358</v>
      </c>
      <c r="AD4" s="164" t="s">
        <v>395</v>
      </c>
      <c r="AE4" s="164" t="s">
        <v>360</v>
      </c>
    </row>
    <row r="5" spans="1:31" ht="12.75">
      <c r="A5" t="s">
        <v>212</v>
      </c>
      <c r="B5" s="10">
        <v>271</v>
      </c>
      <c r="C5" s="8" t="s">
        <v>612</v>
      </c>
      <c r="D5" s="10"/>
      <c r="E5" s="8" t="s">
        <v>612</v>
      </c>
      <c r="F5" s="41"/>
      <c r="G5" s="8" t="s">
        <v>612</v>
      </c>
      <c r="H5" s="159"/>
      <c r="I5" s="8" t="s">
        <v>612</v>
      </c>
      <c r="J5" s="41"/>
      <c r="K5" s="8" t="s">
        <v>612</v>
      </c>
      <c r="L5" s="41"/>
      <c r="M5" s="41" t="s">
        <v>414</v>
      </c>
      <c r="N5" s="276">
        <v>0.59</v>
      </c>
      <c r="O5" s="278">
        <v>0.69</v>
      </c>
      <c r="P5" s="162">
        <f aca="true" t="shared" si="0" ref="P5:P28">IF(N5="N/A","N/A",IF(N5&gt;=$N$122,$O$122,IF(N5&gt;=$N$123,$O$123,0)))</f>
        <v>0</v>
      </c>
      <c r="Q5" s="162">
        <f aca="true" t="shared" si="1" ref="Q5:Q28">IF(O5="N/A","N/A",IF(O5&gt;=$N$122,$O$122,IF(O5&gt;=$N$123,$O$123,0)))</f>
        <v>0</v>
      </c>
      <c r="R5" s="275">
        <v>24.89</v>
      </c>
      <c r="S5" s="275">
        <v>19.21</v>
      </c>
      <c r="T5" s="275">
        <v>11.22</v>
      </c>
      <c r="U5" s="162">
        <f aca="true" t="shared" si="2" ref="U5:U36">IF(M5="One-Zone",IF(R5&gt;$W$125,$X$125,IF(R5&gt;$W$127,$X$127,0)),IF(R5&gt;$W$126,$X$126,IF(R5&gt;$W$128,$X$128,0)))</f>
        <v>0</v>
      </c>
      <c r="V5" s="162">
        <f aca="true" t="shared" si="3" ref="V5:V68">IF(S5="N/A","N/A",IF(S5&gt;=$W$129,$X$129,IF(S5&gt;=$W$130,$X$130,0)))</f>
        <v>0</v>
      </c>
      <c r="W5" s="162">
        <f>IF(T5="N/A","N/A",IF(T5&gt;=$W$131,$X$131,IF(T5&gt;=$W$132,$X$132,0)))</f>
        <v>0</v>
      </c>
      <c r="X5" s="83">
        <f>IF(T5="N/A","N/A",IF(T5&gt;=$W$133,$X$133,IF(T5&gt;=$W$134,$X$134,0)))</f>
        <v>60</v>
      </c>
      <c r="AC5" s="286">
        <f aca="true" t="shared" si="4" ref="AC5:AC68">IF(R5="N/A","N/A",IF(M5="One-Zone",R5*$U$125/$T$122,IF(M5="Two-Zone",R5*$U$126/$T$122,R5*$U$125/$T$122)))</f>
        <v>0.25374058971141783</v>
      </c>
      <c r="AD5" s="286">
        <f aca="true" t="shared" si="5" ref="AD5:AD68">IF(S5="N/A","N/A",S5*$U$129/$T$122)</f>
        <v>0.14763017565872022</v>
      </c>
      <c r="AE5" s="286">
        <f aca="true" t="shared" si="6" ref="AE5:AE68">IF(T5="N/A","N/A",T5*$U$131/$T$122)</f>
        <v>0.08622647427854455</v>
      </c>
    </row>
    <row r="6" spans="1:31" ht="12.75">
      <c r="A6" t="s">
        <v>207</v>
      </c>
      <c r="B6" s="7">
        <v>17</v>
      </c>
      <c r="C6" s="7" t="s">
        <v>467</v>
      </c>
      <c r="D6" s="7"/>
      <c r="E6" s="7" t="s">
        <v>467</v>
      </c>
      <c r="F6" s="41"/>
      <c r="G6" s="7" t="s">
        <v>467</v>
      </c>
      <c r="H6" s="41"/>
      <c r="I6" s="7" t="s">
        <v>467</v>
      </c>
      <c r="J6" s="41"/>
      <c r="K6" s="7" t="s">
        <v>467</v>
      </c>
      <c r="L6" s="41"/>
      <c r="M6" s="41" t="s">
        <v>410</v>
      </c>
      <c r="N6" s="276">
        <v>5.42</v>
      </c>
      <c r="O6" s="278">
        <v>0.96</v>
      </c>
      <c r="P6" s="162">
        <f>IF(N6="N/A","N/A",IF(N6&gt;=$N$122,$O$122,IF(N6&gt;=$N$123,$O$123,0)))</f>
        <v>2</v>
      </c>
      <c r="Q6" s="162">
        <f t="shared" si="1"/>
        <v>1</v>
      </c>
      <c r="R6" s="275">
        <v>101.47</v>
      </c>
      <c r="S6" s="275">
        <v>64.06</v>
      </c>
      <c r="T6" s="275">
        <v>13.86</v>
      </c>
      <c r="U6" s="162">
        <f t="shared" si="2"/>
        <v>1</v>
      </c>
      <c r="V6" s="162">
        <f t="shared" si="3"/>
        <v>0</v>
      </c>
      <c r="W6" s="162">
        <f aca="true" t="shared" si="7" ref="W6:W69">IF(T6="N/A","N/A",IF(T6&gt;=$W$131,$X$131,IF(T6&gt;=$W$132,$X$132,0)))</f>
        <v>0</v>
      </c>
      <c r="X6" s="83">
        <f aca="true" t="shared" si="8" ref="X6:X69">IF(T6="N/A","N/A",IF(T6&gt;=$W$133,$X$133,IF(T6&gt;=$W$134,$X$134,0)))</f>
        <v>60</v>
      </c>
      <c r="AC6" s="286">
        <f t="shared" si="4"/>
        <v>0.8912045169385195</v>
      </c>
      <c r="AD6" s="286">
        <f t="shared" si="5"/>
        <v>0.49230552070263495</v>
      </c>
      <c r="AE6" s="286">
        <f t="shared" si="6"/>
        <v>0.10651505646173148</v>
      </c>
    </row>
    <row r="7" spans="1:31" ht="12.75">
      <c r="A7" t="s">
        <v>118</v>
      </c>
      <c r="B7" s="8" t="s">
        <v>122</v>
      </c>
      <c r="C7" s="8" t="s">
        <v>499</v>
      </c>
      <c r="D7" s="9" t="s">
        <v>503</v>
      </c>
      <c r="E7" s="8" t="s">
        <v>499</v>
      </c>
      <c r="F7" s="41"/>
      <c r="G7" s="8" t="s">
        <v>499</v>
      </c>
      <c r="H7" s="41"/>
      <c r="I7" s="8" t="s">
        <v>499</v>
      </c>
      <c r="J7" s="41"/>
      <c r="K7" s="8" t="s">
        <v>499</v>
      </c>
      <c r="L7" s="41"/>
      <c r="M7" s="41" t="s">
        <v>410</v>
      </c>
      <c r="N7" s="276">
        <v>0.77</v>
      </c>
      <c r="O7" s="278">
        <v>0.5</v>
      </c>
      <c r="P7" s="162">
        <f t="shared" si="0"/>
        <v>0</v>
      </c>
      <c r="Q7" s="162">
        <f t="shared" si="1"/>
        <v>0</v>
      </c>
      <c r="R7" s="275">
        <v>17.43</v>
      </c>
      <c r="S7" s="275">
        <v>29.45</v>
      </c>
      <c r="T7" s="275">
        <v>26.18</v>
      </c>
      <c r="U7" s="162">
        <f t="shared" si="2"/>
        <v>0</v>
      </c>
      <c r="V7" s="162">
        <f t="shared" si="3"/>
        <v>0</v>
      </c>
      <c r="W7" s="162">
        <f t="shared" si="7"/>
        <v>0</v>
      </c>
      <c r="X7" s="83">
        <f t="shared" si="8"/>
        <v>30</v>
      </c>
      <c r="AC7" s="286">
        <f t="shared" si="4"/>
        <v>0.15308657465495612</v>
      </c>
      <c r="AD7" s="286">
        <f t="shared" si="5"/>
        <v>0.22632528230865745</v>
      </c>
      <c r="AE7" s="286">
        <f t="shared" si="6"/>
        <v>0.20119510664993726</v>
      </c>
    </row>
    <row r="8" spans="1:31" ht="12.75">
      <c r="A8" t="s">
        <v>10</v>
      </c>
      <c r="B8" s="7">
        <v>11</v>
      </c>
      <c r="C8" s="7" t="s">
        <v>480</v>
      </c>
      <c r="D8" s="7"/>
      <c r="E8" s="7" t="s">
        <v>480</v>
      </c>
      <c r="F8" s="41"/>
      <c r="G8" s="7" t="s">
        <v>480</v>
      </c>
      <c r="H8" s="41"/>
      <c r="I8" s="7" t="s">
        <v>480</v>
      </c>
      <c r="J8" s="41"/>
      <c r="K8" s="7" t="s">
        <v>480</v>
      </c>
      <c r="L8" s="41"/>
      <c r="M8" s="41" t="s">
        <v>410</v>
      </c>
      <c r="N8" s="276">
        <v>0.75</v>
      </c>
      <c r="O8" s="278">
        <v>0.78</v>
      </c>
      <c r="P8" s="162">
        <f t="shared" si="0"/>
        <v>0</v>
      </c>
      <c r="Q8" s="162">
        <f t="shared" si="1"/>
        <v>0</v>
      </c>
      <c r="R8" s="275">
        <v>48.73</v>
      </c>
      <c r="S8" s="275">
        <v>28.02</v>
      </c>
      <c r="T8" s="275">
        <v>36.01</v>
      </c>
      <c r="U8" s="162">
        <f t="shared" si="2"/>
        <v>0</v>
      </c>
      <c r="V8" s="162">
        <f t="shared" si="3"/>
        <v>0</v>
      </c>
      <c r="W8" s="162">
        <f t="shared" si="7"/>
        <v>0</v>
      </c>
      <c r="X8" s="83">
        <f t="shared" si="8"/>
        <v>30</v>
      </c>
      <c r="AC8" s="286">
        <f t="shared" si="4"/>
        <v>0.4279924717691343</v>
      </c>
      <c r="AD8" s="286">
        <f t="shared" si="5"/>
        <v>0.21533563362609787</v>
      </c>
      <c r="AE8" s="286">
        <f t="shared" si="6"/>
        <v>0.2767393350062735</v>
      </c>
    </row>
    <row r="9" spans="1:31" ht="12.75">
      <c r="A9" t="s">
        <v>161</v>
      </c>
      <c r="B9" s="10">
        <v>240</v>
      </c>
      <c r="C9" s="10" t="s">
        <v>508</v>
      </c>
      <c r="D9" s="10"/>
      <c r="E9" s="10" t="s">
        <v>508</v>
      </c>
      <c r="F9" s="41"/>
      <c r="G9" s="10" t="s">
        <v>508</v>
      </c>
      <c r="H9" s="41"/>
      <c r="I9" s="10" t="s">
        <v>508</v>
      </c>
      <c r="J9" s="41"/>
      <c r="K9" s="10" t="s">
        <v>508</v>
      </c>
      <c r="L9" s="41"/>
      <c r="M9" s="41" t="s">
        <v>410</v>
      </c>
      <c r="N9" s="276">
        <v>0.47</v>
      </c>
      <c r="O9" s="278">
        <v>0.48</v>
      </c>
      <c r="P9" s="162">
        <f t="shared" si="0"/>
        <v>0</v>
      </c>
      <c r="Q9" s="162">
        <f t="shared" si="1"/>
        <v>0</v>
      </c>
      <c r="R9" s="275">
        <v>25.79</v>
      </c>
      <c r="S9" s="275">
        <v>21.63</v>
      </c>
      <c r="T9" s="275">
        <v>12.3</v>
      </c>
      <c r="U9" s="162">
        <f t="shared" si="2"/>
        <v>0</v>
      </c>
      <c r="V9" s="162">
        <f t="shared" si="3"/>
        <v>0</v>
      </c>
      <c r="W9" s="162">
        <f t="shared" si="7"/>
        <v>0</v>
      </c>
      <c r="X9" s="83">
        <f t="shared" si="8"/>
        <v>60</v>
      </c>
      <c r="AC9" s="286">
        <f t="shared" si="4"/>
        <v>0.2265119196988708</v>
      </c>
      <c r="AD9" s="286">
        <f t="shared" si="5"/>
        <v>0.1662280426599749</v>
      </c>
      <c r="AE9" s="286">
        <f t="shared" si="6"/>
        <v>0.09452634880803011</v>
      </c>
    </row>
    <row r="10" spans="1:31" ht="12.75">
      <c r="A10" t="s">
        <v>150</v>
      </c>
      <c r="B10" s="7">
        <v>56</v>
      </c>
      <c r="C10" s="7" t="s">
        <v>566</v>
      </c>
      <c r="D10" s="7"/>
      <c r="E10" s="7" t="s">
        <v>566</v>
      </c>
      <c r="F10" s="41"/>
      <c r="G10" s="7" t="s">
        <v>566</v>
      </c>
      <c r="H10" s="41"/>
      <c r="I10" s="7" t="s">
        <v>566</v>
      </c>
      <c r="J10" s="41"/>
      <c r="K10" s="7" t="s">
        <v>566</v>
      </c>
      <c r="L10" s="41"/>
      <c r="M10" s="41" t="s">
        <v>410</v>
      </c>
      <c r="N10" s="276">
        <v>0.46</v>
      </c>
      <c r="O10" s="278">
        <v>0.32</v>
      </c>
      <c r="P10" s="162">
        <f t="shared" si="0"/>
        <v>0</v>
      </c>
      <c r="Q10" s="162">
        <f t="shared" si="1"/>
        <v>0</v>
      </c>
      <c r="R10" s="275">
        <v>66.25</v>
      </c>
      <c r="S10" s="275">
        <v>59.42</v>
      </c>
      <c r="T10" s="275">
        <v>14.32</v>
      </c>
      <c r="U10" s="162">
        <f t="shared" si="2"/>
        <v>1</v>
      </c>
      <c r="V10" s="162">
        <f t="shared" si="3"/>
        <v>0</v>
      </c>
      <c r="W10" s="162">
        <f t="shared" si="7"/>
        <v>0</v>
      </c>
      <c r="X10" s="83">
        <f t="shared" si="8"/>
        <v>60</v>
      </c>
      <c r="AC10" s="286">
        <f t="shared" si="4"/>
        <v>0.5818695106649938</v>
      </c>
      <c r="AD10" s="286">
        <f t="shared" si="5"/>
        <v>0.45664680050188206</v>
      </c>
      <c r="AE10" s="286">
        <f t="shared" si="6"/>
        <v>0.11005018820577164</v>
      </c>
    </row>
    <row r="11" spans="1:31" ht="12.75">
      <c r="A11" t="s">
        <v>44</v>
      </c>
      <c r="B11" s="10">
        <v>120</v>
      </c>
      <c r="C11" s="10" t="s">
        <v>439</v>
      </c>
      <c r="D11" s="10"/>
      <c r="E11" s="10" t="s">
        <v>439</v>
      </c>
      <c r="F11" s="41"/>
      <c r="G11" s="10" t="s">
        <v>439</v>
      </c>
      <c r="H11" s="41"/>
      <c r="I11" s="10" t="s">
        <v>439</v>
      </c>
      <c r="J11" s="41"/>
      <c r="K11" s="10" t="s">
        <v>439</v>
      </c>
      <c r="L11" s="41"/>
      <c r="M11" s="41" t="s">
        <v>414</v>
      </c>
      <c r="N11" s="276">
        <v>1.46</v>
      </c>
      <c r="O11" s="278">
        <v>1.13</v>
      </c>
      <c r="P11" s="162">
        <f t="shared" si="0"/>
        <v>1</v>
      </c>
      <c r="Q11" s="162">
        <f t="shared" si="1"/>
        <v>1</v>
      </c>
      <c r="R11" s="275">
        <v>78.85</v>
      </c>
      <c r="S11" s="275">
        <v>89.62</v>
      </c>
      <c r="T11" s="275">
        <v>30.39</v>
      </c>
      <c r="U11" s="162">
        <f t="shared" si="2"/>
        <v>1</v>
      </c>
      <c r="V11" s="162">
        <f t="shared" si="3"/>
        <v>1</v>
      </c>
      <c r="W11" s="162">
        <f t="shared" si="7"/>
        <v>0</v>
      </c>
      <c r="X11" s="83">
        <f t="shared" si="8"/>
        <v>30</v>
      </c>
      <c r="AC11" s="286">
        <f t="shared" si="4"/>
        <v>0.8038346925972396</v>
      </c>
      <c r="AD11" s="286">
        <f t="shared" si="5"/>
        <v>0.6887358845671268</v>
      </c>
      <c r="AE11" s="286">
        <f t="shared" si="6"/>
        <v>0.23354924717691342</v>
      </c>
    </row>
    <row r="12" spans="1:31" ht="12.75">
      <c r="A12" t="s">
        <v>153</v>
      </c>
      <c r="B12" s="7">
        <v>21</v>
      </c>
      <c r="C12" s="7" t="s">
        <v>514</v>
      </c>
      <c r="D12" s="7"/>
      <c r="E12" s="7" t="s">
        <v>514</v>
      </c>
      <c r="F12" s="41"/>
      <c r="G12" s="7" t="s">
        <v>514</v>
      </c>
      <c r="H12" s="41"/>
      <c r="I12" s="7" t="s">
        <v>514</v>
      </c>
      <c r="J12" s="41"/>
      <c r="K12" s="7" t="s">
        <v>514</v>
      </c>
      <c r="L12" s="41"/>
      <c r="M12" s="41" t="s">
        <v>410</v>
      </c>
      <c r="N12" s="276">
        <v>0.6</v>
      </c>
      <c r="O12" s="278">
        <v>0.41</v>
      </c>
      <c r="P12" s="162">
        <f t="shared" si="0"/>
        <v>0</v>
      </c>
      <c r="Q12" s="162">
        <f t="shared" si="1"/>
        <v>0</v>
      </c>
      <c r="R12" s="275">
        <v>31.46</v>
      </c>
      <c r="S12" s="275">
        <v>28.76</v>
      </c>
      <c r="T12" s="275">
        <v>15.25</v>
      </c>
      <c r="U12" s="162">
        <f t="shared" si="2"/>
        <v>0</v>
      </c>
      <c r="V12" s="162">
        <f t="shared" si="3"/>
        <v>0</v>
      </c>
      <c r="W12" s="162">
        <f t="shared" si="7"/>
        <v>0</v>
      </c>
      <c r="X12" s="83">
        <f t="shared" si="8"/>
        <v>60</v>
      </c>
      <c r="AC12" s="286">
        <f t="shared" si="4"/>
        <v>0.2763111668757842</v>
      </c>
      <c r="AD12" s="286">
        <f t="shared" si="5"/>
        <v>0.22102258469259728</v>
      </c>
      <c r="AE12" s="286">
        <f t="shared" si="6"/>
        <v>0.11719730238393979</v>
      </c>
    </row>
    <row r="13" spans="1:31" ht="12.75">
      <c r="A13" t="s">
        <v>47</v>
      </c>
      <c r="B13" s="10">
        <v>60</v>
      </c>
      <c r="C13" s="9" t="s">
        <v>476</v>
      </c>
      <c r="D13" s="10"/>
      <c r="E13" s="9" t="s">
        <v>476</v>
      </c>
      <c r="F13" s="41"/>
      <c r="G13" s="9" t="s">
        <v>476</v>
      </c>
      <c r="H13" s="41"/>
      <c r="I13" s="9" t="s">
        <v>476</v>
      </c>
      <c r="J13" s="41"/>
      <c r="K13" s="9" t="s">
        <v>476</v>
      </c>
      <c r="L13" s="41"/>
      <c r="M13" s="41" t="s">
        <v>410</v>
      </c>
      <c r="N13" s="276">
        <v>0.67</v>
      </c>
      <c r="O13" s="278">
        <v>0.63</v>
      </c>
      <c r="P13" s="162">
        <f t="shared" si="0"/>
        <v>0</v>
      </c>
      <c r="Q13" s="162">
        <f t="shared" si="1"/>
        <v>0</v>
      </c>
      <c r="R13" s="275">
        <v>38.8</v>
      </c>
      <c r="S13" s="275">
        <v>42.99</v>
      </c>
      <c r="T13" s="275">
        <v>17.78</v>
      </c>
      <c r="U13" s="162">
        <f t="shared" si="2"/>
        <v>0</v>
      </c>
      <c r="V13" s="162">
        <f t="shared" si="3"/>
        <v>0</v>
      </c>
      <c r="W13" s="162">
        <f t="shared" si="7"/>
        <v>0</v>
      </c>
      <c r="X13" s="83">
        <f t="shared" si="8"/>
        <v>60</v>
      </c>
      <c r="AC13" s="286">
        <f t="shared" si="4"/>
        <v>0.3407779171894605</v>
      </c>
      <c r="AD13" s="286">
        <f t="shared" si="5"/>
        <v>0.33038111668757847</v>
      </c>
      <c r="AE13" s="286">
        <f t="shared" si="6"/>
        <v>0.13664052697616064</v>
      </c>
    </row>
    <row r="14" spans="1:31" ht="12.75">
      <c r="A14" t="s">
        <v>123</v>
      </c>
      <c r="B14" s="7">
        <v>125</v>
      </c>
      <c r="C14" s="7" t="s">
        <v>443</v>
      </c>
      <c r="D14" s="174"/>
      <c r="E14" s="158" t="s">
        <v>524</v>
      </c>
      <c r="F14" s="41"/>
      <c r="G14" s="7" t="s">
        <v>443</v>
      </c>
      <c r="H14" s="41"/>
      <c r="I14" s="158" t="s">
        <v>524</v>
      </c>
      <c r="J14" s="173"/>
      <c r="K14" s="7" t="s">
        <v>443</v>
      </c>
      <c r="L14" s="41"/>
      <c r="M14" s="41" t="s">
        <v>414</v>
      </c>
      <c r="N14" s="276">
        <v>1.45</v>
      </c>
      <c r="O14" s="278">
        <v>0.61</v>
      </c>
      <c r="P14" s="162">
        <f t="shared" si="0"/>
        <v>1</v>
      </c>
      <c r="Q14" s="162">
        <f t="shared" si="1"/>
        <v>0</v>
      </c>
      <c r="R14" s="275">
        <v>68.76</v>
      </c>
      <c r="S14" s="275">
        <v>33.36</v>
      </c>
      <c r="T14" s="276" t="s">
        <v>579</v>
      </c>
      <c r="U14" s="162">
        <f t="shared" si="2"/>
        <v>1</v>
      </c>
      <c r="V14" s="162">
        <f t="shared" si="3"/>
        <v>0</v>
      </c>
      <c r="W14" s="162" t="str">
        <f t="shared" si="7"/>
        <v>N/A</v>
      </c>
      <c r="X14" s="83" t="str">
        <f t="shared" si="8"/>
        <v>N/A</v>
      </c>
      <c r="AC14" s="286">
        <f t="shared" si="4"/>
        <v>0.7009723964868256</v>
      </c>
      <c r="AD14" s="286">
        <f t="shared" si="5"/>
        <v>0.25637390213299877</v>
      </c>
      <c r="AE14" s="286" t="str">
        <f t="shared" si="6"/>
        <v>N/A</v>
      </c>
    </row>
    <row r="15" spans="1:31" ht="12.75">
      <c r="A15" t="s">
        <v>29</v>
      </c>
      <c r="B15" s="10">
        <v>10</v>
      </c>
      <c r="C15" s="10" t="s">
        <v>459</v>
      </c>
      <c r="D15" s="10"/>
      <c r="E15" s="10" t="s">
        <v>459</v>
      </c>
      <c r="F15" s="41"/>
      <c r="G15" s="10" t="s">
        <v>459</v>
      </c>
      <c r="H15" s="41"/>
      <c r="I15" s="10" t="s">
        <v>459</v>
      </c>
      <c r="J15" s="41"/>
      <c r="K15" s="10" t="s">
        <v>459</v>
      </c>
      <c r="L15" s="41"/>
      <c r="M15" s="41" t="s">
        <v>410</v>
      </c>
      <c r="N15" s="276">
        <v>1.08</v>
      </c>
      <c r="O15" s="278">
        <v>0.69</v>
      </c>
      <c r="P15" s="162">
        <f t="shared" si="0"/>
        <v>1</v>
      </c>
      <c r="Q15" s="162">
        <f t="shared" si="1"/>
        <v>0</v>
      </c>
      <c r="R15" s="275">
        <v>83.65</v>
      </c>
      <c r="S15" s="275">
        <v>110.84</v>
      </c>
      <c r="T15" s="275">
        <v>38.28</v>
      </c>
      <c r="U15" s="162">
        <f t="shared" si="2"/>
        <v>1</v>
      </c>
      <c r="V15" s="162">
        <f t="shared" si="3"/>
        <v>1</v>
      </c>
      <c r="W15" s="162">
        <f t="shared" si="7"/>
        <v>0</v>
      </c>
      <c r="X15" s="83">
        <f t="shared" si="8"/>
        <v>30</v>
      </c>
      <c r="AC15" s="286">
        <f t="shared" si="4"/>
        <v>0.7346925972396489</v>
      </c>
      <c r="AD15" s="286">
        <f t="shared" si="5"/>
        <v>0.8518130489335006</v>
      </c>
      <c r="AE15" s="286">
        <f t="shared" si="6"/>
        <v>0.2941844416562108</v>
      </c>
    </row>
    <row r="16" spans="1:31" ht="12.75">
      <c r="A16" t="s">
        <v>78</v>
      </c>
      <c r="B16" s="7" t="s">
        <v>81</v>
      </c>
      <c r="C16" s="7" t="s">
        <v>500</v>
      </c>
      <c r="D16" s="7"/>
      <c r="E16" s="7" t="s">
        <v>500</v>
      </c>
      <c r="F16" s="41"/>
      <c r="G16" s="7" t="s">
        <v>500</v>
      </c>
      <c r="H16" s="41"/>
      <c r="I16" s="7" t="s">
        <v>500</v>
      </c>
      <c r="J16" s="41"/>
      <c r="K16" s="7" t="s">
        <v>500</v>
      </c>
      <c r="L16" s="41"/>
      <c r="M16" s="41" t="s">
        <v>410</v>
      </c>
      <c r="N16" s="276">
        <v>0.76</v>
      </c>
      <c r="O16" s="278">
        <v>0.85</v>
      </c>
      <c r="P16" s="162">
        <f t="shared" si="0"/>
        <v>0</v>
      </c>
      <c r="Q16" s="162">
        <f t="shared" si="1"/>
        <v>1</v>
      </c>
      <c r="R16" s="275">
        <v>43.25</v>
      </c>
      <c r="S16" s="275">
        <v>45.01</v>
      </c>
      <c r="T16" s="275">
        <v>23.99</v>
      </c>
      <c r="U16" s="162">
        <f t="shared" si="2"/>
        <v>0</v>
      </c>
      <c r="V16" s="162">
        <f t="shared" si="3"/>
        <v>0</v>
      </c>
      <c r="W16" s="162">
        <f t="shared" si="7"/>
        <v>0</v>
      </c>
      <c r="X16" s="83">
        <f t="shared" si="8"/>
        <v>30</v>
      </c>
      <c r="AC16" s="286">
        <f t="shared" si="4"/>
        <v>0.37986198243412805</v>
      </c>
      <c r="AD16" s="286">
        <f t="shared" si="5"/>
        <v>0.34590495608531996</v>
      </c>
      <c r="AE16" s="286">
        <f t="shared" si="6"/>
        <v>0.1843648055207026</v>
      </c>
    </row>
    <row r="17" spans="1:31" ht="12.75">
      <c r="A17" t="s">
        <v>7</v>
      </c>
      <c r="B17" s="10">
        <v>12</v>
      </c>
      <c r="C17" s="157" t="s">
        <v>513</v>
      </c>
      <c r="D17" s="62"/>
      <c r="E17" s="157" t="s">
        <v>513</v>
      </c>
      <c r="F17" s="41"/>
      <c r="G17" s="157" t="s">
        <v>513</v>
      </c>
      <c r="H17" s="41"/>
      <c r="I17" s="157" t="s">
        <v>513</v>
      </c>
      <c r="J17" s="41"/>
      <c r="K17" s="157" t="s">
        <v>462</v>
      </c>
      <c r="L17" s="41"/>
      <c r="M17" s="41" t="s">
        <v>410</v>
      </c>
      <c r="N17" s="276">
        <v>0.47</v>
      </c>
      <c r="O17" s="278">
        <v>0.62</v>
      </c>
      <c r="P17" s="162">
        <f t="shared" si="0"/>
        <v>0</v>
      </c>
      <c r="Q17" s="162">
        <f t="shared" si="1"/>
        <v>0</v>
      </c>
      <c r="R17" s="275">
        <v>71.02</v>
      </c>
      <c r="S17" s="275">
        <v>57.87</v>
      </c>
      <c r="T17" s="275">
        <v>18.38</v>
      </c>
      <c r="U17" s="162">
        <f t="shared" si="2"/>
        <v>1</v>
      </c>
      <c r="V17" s="162">
        <f t="shared" si="3"/>
        <v>0</v>
      </c>
      <c r="W17" s="162">
        <f t="shared" si="7"/>
        <v>0</v>
      </c>
      <c r="X17" s="83">
        <f t="shared" si="8"/>
        <v>60</v>
      </c>
      <c r="AC17" s="286">
        <f t="shared" si="4"/>
        <v>0.6237641154328732</v>
      </c>
      <c r="AD17" s="286">
        <f t="shared" si="5"/>
        <v>0.4447349435382685</v>
      </c>
      <c r="AE17" s="286">
        <f t="shared" si="6"/>
        <v>0.14125156838143035</v>
      </c>
    </row>
    <row r="18" spans="1:31" ht="12.75">
      <c r="A18" t="s">
        <v>12</v>
      </c>
      <c r="B18" s="8" t="s">
        <v>15</v>
      </c>
      <c r="C18" s="8" t="s">
        <v>470</v>
      </c>
      <c r="D18" s="8"/>
      <c r="E18" s="8" t="s">
        <v>470</v>
      </c>
      <c r="F18" s="41"/>
      <c r="G18" s="8" t="s">
        <v>470</v>
      </c>
      <c r="H18" s="41"/>
      <c r="I18" s="8" t="s">
        <v>470</v>
      </c>
      <c r="J18" s="41"/>
      <c r="K18" s="8" t="s">
        <v>441</v>
      </c>
      <c r="L18" s="41"/>
      <c r="M18" s="41" t="s">
        <v>410</v>
      </c>
      <c r="N18" s="276">
        <v>0.71</v>
      </c>
      <c r="O18" s="278">
        <v>1.7</v>
      </c>
      <c r="P18" s="162">
        <f t="shared" si="0"/>
        <v>0</v>
      </c>
      <c r="Q18" s="162">
        <f t="shared" si="1"/>
        <v>2</v>
      </c>
      <c r="R18" s="275">
        <v>110.65</v>
      </c>
      <c r="S18" s="275">
        <v>161</v>
      </c>
      <c r="T18" s="275">
        <v>48.01</v>
      </c>
      <c r="U18" s="162">
        <f t="shared" si="2"/>
        <v>1</v>
      </c>
      <c r="V18" s="162">
        <f t="shared" si="3"/>
        <v>2</v>
      </c>
      <c r="W18" s="162">
        <f t="shared" si="7"/>
        <v>1</v>
      </c>
      <c r="X18" s="83">
        <f t="shared" si="8"/>
        <v>30</v>
      </c>
      <c r="AC18" s="286">
        <f t="shared" si="4"/>
        <v>0.9718318695106651</v>
      </c>
      <c r="AD18" s="286">
        <f t="shared" si="5"/>
        <v>1.2372961104140527</v>
      </c>
      <c r="AE18" s="286">
        <f t="shared" si="6"/>
        <v>0.36896016311166874</v>
      </c>
    </row>
    <row r="19" spans="1:31" ht="12.75">
      <c r="A19" t="s">
        <v>186</v>
      </c>
      <c r="B19" s="7">
        <v>23</v>
      </c>
      <c r="C19" s="7" t="s">
        <v>527</v>
      </c>
      <c r="D19" s="7"/>
      <c r="E19" s="7" t="s">
        <v>527</v>
      </c>
      <c r="F19" s="41"/>
      <c r="G19" s="7" t="s">
        <v>527</v>
      </c>
      <c r="H19" s="41"/>
      <c r="I19" s="7" t="s">
        <v>527</v>
      </c>
      <c r="J19" s="41"/>
      <c r="K19" s="7" t="s">
        <v>527</v>
      </c>
      <c r="L19" s="41"/>
      <c r="M19" s="41" t="s">
        <v>414</v>
      </c>
      <c r="N19" s="276">
        <v>0.44</v>
      </c>
      <c r="O19" s="278">
        <v>0.36</v>
      </c>
      <c r="P19" s="162">
        <f t="shared" si="0"/>
        <v>0</v>
      </c>
      <c r="Q19" s="162">
        <f t="shared" si="1"/>
        <v>0</v>
      </c>
      <c r="R19" s="275">
        <v>32.09</v>
      </c>
      <c r="S19" s="275">
        <v>26.76</v>
      </c>
      <c r="T19" s="275">
        <v>11.79</v>
      </c>
      <c r="U19" s="162">
        <f t="shared" si="2"/>
        <v>0</v>
      </c>
      <c r="V19" s="162">
        <f t="shared" si="3"/>
        <v>0</v>
      </c>
      <c r="W19" s="162">
        <f t="shared" si="7"/>
        <v>0</v>
      </c>
      <c r="X19" s="83">
        <f t="shared" si="8"/>
        <v>60</v>
      </c>
      <c r="AC19" s="286">
        <f t="shared" si="4"/>
        <v>0.32714084065244675</v>
      </c>
      <c r="AD19" s="286">
        <f t="shared" si="5"/>
        <v>0.20565244667503138</v>
      </c>
      <c r="AE19" s="286">
        <f t="shared" si="6"/>
        <v>0.09060696361355082</v>
      </c>
    </row>
    <row r="20" spans="1:31" ht="12.75">
      <c r="A20" t="s">
        <v>91</v>
      </c>
      <c r="B20" s="8" t="s">
        <v>95</v>
      </c>
      <c r="C20" s="8" t="s">
        <v>506</v>
      </c>
      <c r="D20" s="8"/>
      <c r="E20" s="8" t="s">
        <v>506</v>
      </c>
      <c r="F20" s="41"/>
      <c r="G20" s="8" t="s">
        <v>506</v>
      </c>
      <c r="H20" s="41"/>
      <c r="I20" s="8" t="s">
        <v>506</v>
      </c>
      <c r="J20" s="41"/>
      <c r="K20" s="8" t="s">
        <v>506</v>
      </c>
      <c r="L20" s="41"/>
      <c r="M20" s="41" t="s">
        <v>410</v>
      </c>
      <c r="N20" s="276">
        <v>0.51</v>
      </c>
      <c r="O20" s="278">
        <v>0.62</v>
      </c>
      <c r="P20" s="162">
        <f t="shared" si="0"/>
        <v>0</v>
      </c>
      <c r="Q20" s="162">
        <f t="shared" si="1"/>
        <v>0</v>
      </c>
      <c r="R20" s="275">
        <v>46.6</v>
      </c>
      <c r="S20" s="275">
        <v>59.31</v>
      </c>
      <c r="T20" s="275">
        <v>30.95</v>
      </c>
      <c r="U20" s="162">
        <f t="shared" si="2"/>
        <v>0</v>
      </c>
      <c r="V20" s="162">
        <f t="shared" si="3"/>
        <v>0</v>
      </c>
      <c r="W20" s="162">
        <f t="shared" si="7"/>
        <v>0</v>
      </c>
      <c r="X20" s="83">
        <f t="shared" si="8"/>
        <v>30</v>
      </c>
      <c r="AC20" s="286">
        <f t="shared" si="4"/>
        <v>0.40928481806775413</v>
      </c>
      <c r="AD20" s="286">
        <f t="shared" si="5"/>
        <v>0.45580144291091595</v>
      </c>
      <c r="AE20" s="286">
        <f t="shared" si="6"/>
        <v>0.23785288582183187</v>
      </c>
    </row>
    <row r="21" spans="1:31" ht="12.75">
      <c r="A21" t="s">
        <v>125</v>
      </c>
      <c r="B21" s="7" t="s">
        <v>127</v>
      </c>
      <c r="C21" s="7" t="s">
        <v>482</v>
      </c>
      <c r="D21" s="7"/>
      <c r="E21" s="7" t="s">
        <v>482</v>
      </c>
      <c r="F21" s="41"/>
      <c r="G21" s="7" t="s">
        <v>482</v>
      </c>
      <c r="H21" s="41"/>
      <c r="I21" s="7" t="s">
        <v>482</v>
      </c>
      <c r="J21" s="41"/>
      <c r="K21" s="158" t="s">
        <v>564</v>
      </c>
      <c r="L21" s="41"/>
      <c r="M21" s="41" t="s">
        <v>414</v>
      </c>
      <c r="N21" s="276">
        <v>0.67</v>
      </c>
      <c r="O21" s="278">
        <v>0.57</v>
      </c>
      <c r="P21" s="162">
        <f t="shared" si="0"/>
        <v>0</v>
      </c>
      <c r="Q21" s="162">
        <f t="shared" si="1"/>
        <v>0</v>
      </c>
      <c r="R21" s="275">
        <v>8.93</v>
      </c>
      <c r="S21" s="275">
        <v>14.77</v>
      </c>
      <c r="T21" s="275">
        <v>7.01</v>
      </c>
      <c r="U21" s="162">
        <f t="shared" si="2"/>
        <v>0</v>
      </c>
      <c r="V21" s="162">
        <f t="shared" si="3"/>
        <v>0</v>
      </c>
      <c r="W21" s="162">
        <f t="shared" si="7"/>
        <v>0</v>
      </c>
      <c r="X21" s="83">
        <f t="shared" si="8"/>
        <v>0</v>
      </c>
      <c r="AC21" s="286">
        <f t="shared" si="4"/>
        <v>0.09103670012547052</v>
      </c>
      <c r="AD21" s="286">
        <f t="shared" si="5"/>
        <v>0.11350846925972397</v>
      </c>
      <c r="AE21" s="286">
        <f t="shared" si="6"/>
        <v>0.05387233375156838</v>
      </c>
    </row>
    <row r="22" spans="1:31" ht="12.75">
      <c r="A22" t="s">
        <v>16</v>
      </c>
      <c r="B22" s="9" t="s">
        <v>19</v>
      </c>
      <c r="C22" s="9" t="s">
        <v>469</v>
      </c>
      <c r="D22" s="9"/>
      <c r="E22" s="9" t="s">
        <v>469</v>
      </c>
      <c r="F22" s="41"/>
      <c r="G22" s="9" t="s">
        <v>469</v>
      </c>
      <c r="H22" s="41"/>
      <c r="I22" s="9" t="s">
        <v>469</v>
      </c>
      <c r="J22" s="41"/>
      <c r="K22" s="9" t="s">
        <v>469</v>
      </c>
      <c r="L22" s="41"/>
      <c r="M22" s="41" t="s">
        <v>410</v>
      </c>
      <c r="N22" s="276">
        <v>0.81</v>
      </c>
      <c r="O22" s="278">
        <v>0.39</v>
      </c>
      <c r="P22" s="162">
        <f t="shared" si="0"/>
        <v>1</v>
      </c>
      <c r="Q22" s="162">
        <f t="shared" si="1"/>
        <v>0</v>
      </c>
      <c r="R22" s="275">
        <v>79.41</v>
      </c>
      <c r="S22" s="275">
        <v>47.57</v>
      </c>
      <c r="T22" s="275">
        <v>48.97</v>
      </c>
      <c r="U22" s="162">
        <f t="shared" si="2"/>
        <v>1</v>
      </c>
      <c r="V22" s="162">
        <f t="shared" si="3"/>
        <v>0</v>
      </c>
      <c r="W22" s="162">
        <f t="shared" si="7"/>
        <v>1</v>
      </c>
      <c r="X22" s="83">
        <f t="shared" si="8"/>
        <v>30</v>
      </c>
      <c r="AC22" s="286">
        <f t="shared" si="4"/>
        <v>0.6974529485570891</v>
      </c>
      <c r="AD22" s="286">
        <f t="shared" si="5"/>
        <v>0.3655787327478043</v>
      </c>
      <c r="AE22" s="286">
        <f t="shared" si="6"/>
        <v>0.3763378293601004</v>
      </c>
    </row>
    <row r="23" spans="1:31" ht="12.75">
      <c r="A23" t="s">
        <v>59</v>
      </c>
      <c r="B23" s="7" t="s">
        <v>61</v>
      </c>
      <c r="C23" s="7" t="s">
        <v>492</v>
      </c>
      <c r="D23" s="7"/>
      <c r="E23" s="7" t="s">
        <v>492</v>
      </c>
      <c r="F23" s="41"/>
      <c r="G23" s="7" t="s">
        <v>492</v>
      </c>
      <c r="H23" s="41"/>
      <c r="I23" s="7" t="s">
        <v>492</v>
      </c>
      <c r="J23" s="41"/>
      <c r="K23" s="7" t="s">
        <v>492</v>
      </c>
      <c r="L23" s="41"/>
      <c r="M23" s="41" t="s">
        <v>414</v>
      </c>
      <c r="N23" s="276">
        <v>0.58</v>
      </c>
      <c r="O23" s="278">
        <v>0.52</v>
      </c>
      <c r="P23" s="162">
        <f t="shared" si="0"/>
        <v>0</v>
      </c>
      <c r="Q23" s="162">
        <f t="shared" si="1"/>
        <v>0</v>
      </c>
      <c r="R23" s="275">
        <v>17.61</v>
      </c>
      <c r="S23" s="275">
        <v>8.76</v>
      </c>
      <c r="T23" s="276" t="s">
        <v>579</v>
      </c>
      <c r="U23" s="162">
        <f t="shared" si="2"/>
        <v>0</v>
      </c>
      <c r="V23" s="162">
        <f t="shared" si="3"/>
        <v>0</v>
      </c>
      <c r="W23" s="162" t="str">
        <f t="shared" si="7"/>
        <v>N/A</v>
      </c>
      <c r="X23" s="83" t="str">
        <f t="shared" si="8"/>
        <v>N/A</v>
      </c>
      <c r="AC23" s="286">
        <f t="shared" si="4"/>
        <v>0.17952478042659975</v>
      </c>
      <c r="AD23" s="286">
        <f t="shared" si="5"/>
        <v>0.06732120451693852</v>
      </c>
      <c r="AE23" s="286" t="str">
        <f t="shared" si="6"/>
        <v>N/A</v>
      </c>
    </row>
    <row r="24" spans="1:31" ht="12.75">
      <c r="A24" t="s">
        <v>163</v>
      </c>
      <c r="B24" s="10">
        <v>128</v>
      </c>
      <c r="C24" s="10" t="s">
        <v>498</v>
      </c>
      <c r="D24" s="10"/>
      <c r="E24" s="10" t="s">
        <v>498</v>
      </c>
      <c r="F24" s="41"/>
      <c r="G24" s="10" t="s">
        <v>498</v>
      </c>
      <c r="H24" s="41"/>
      <c r="I24" s="10" t="s">
        <v>498</v>
      </c>
      <c r="J24" s="41"/>
      <c r="K24" s="10" t="s">
        <v>498</v>
      </c>
      <c r="L24" s="41"/>
      <c r="M24" s="41" t="s">
        <v>414</v>
      </c>
      <c r="N24" s="276">
        <v>0.65</v>
      </c>
      <c r="O24" s="278">
        <v>0.62</v>
      </c>
      <c r="P24" s="162">
        <f t="shared" si="0"/>
        <v>0</v>
      </c>
      <c r="Q24" s="162">
        <f t="shared" si="1"/>
        <v>0</v>
      </c>
      <c r="R24" s="275">
        <v>36.5</v>
      </c>
      <c r="S24" s="275">
        <v>35.21</v>
      </c>
      <c r="T24" s="275">
        <v>16.03</v>
      </c>
      <c r="U24" s="162">
        <f t="shared" si="2"/>
        <v>0</v>
      </c>
      <c r="V24" s="162">
        <f t="shared" si="3"/>
        <v>0</v>
      </c>
      <c r="W24" s="162">
        <f t="shared" si="7"/>
        <v>0</v>
      </c>
      <c r="X24" s="83">
        <f t="shared" si="8"/>
        <v>60</v>
      </c>
      <c r="AC24" s="286">
        <f t="shared" si="4"/>
        <v>0.37209849435382686</v>
      </c>
      <c r="AD24" s="286">
        <f t="shared" si="5"/>
        <v>0.2705912797992472</v>
      </c>
      <c r="AE24" s="286">
        <f t="shared" si="6"/>
        <v>0.12319165621079047</v>
      </c>
    </row>
    <row r="25" spans="1:31" ht="12.75">
      <c r="A25" t="s">
        <v>128</v>
      </c>
      <c r="B25" s="7">
        <v>345</v>
      </c>
      <c r="C25" s="7" t="s">
        <v>520</v>
      </c>
      <c r="D25" s="7"/>
      <c r="E25" s="7" t="s">
        <v>520</v>
      </c>
      <c r="F25" s="41"/>
      <c r="G25" s="7" t="s">
        <v>520</v>
      </c>
      <c r="H25" s="41"/>
      <c r="I25" s="7" t="s">
        <v>520</v>
      </c>
      <c r="J25" s="41"/>
      <c r="K25" s="7" t="s">
        <v>520</v>
      </c>
      <c r="L25" s="41"/>
      <c r="M25" s="41" t="s">
        <v>414</v>
      </c>
      <c r="N25" s="276">
        <v>0.64</v>
      </c>
      <c r="O25" s="278">
        <v>0.74</v>
      </c>
      <c r="P25" s="162">
        <f t="shared" si="0"/>
        <v>0</v>
      </c>
      <c r="Q25" s="162">
        <f t="shared" si="1"/>
        <v>0</v>
      </c>
      <c r="R25" s="275">
        <v>19.79</v>
      </c>
      <c r="S25" s="275">
        <v>41.32</v>
      </c>
      <c r="T25" s="275">
        <v>8.16</v>
      </c>
      <c r="U25" s="162">
        <f t="shared" si="2"/>
        <v>0</v>
      </c>
      <c r="V25" s="162">
        <f t="shared" si="3"/>
        <v>0</v>
      </c>
      <c r="W25" s="162">
        <f t="shared" si="7"/>
        <v>0</v>
      </c>
      <c r="X25" s="83">
        <f t="shared" si="8"/>
        <v>0</v>
      </c>
      <c r="AC25" s="286">
        <f t="shared" si="4"/>
        <v>0.20174874529485573</v>
      </c>
      <c r="AD25" s="286">
        <f t="shared" si="5"/>
        <v>0.31754705144291095</v>
      </c>
      <c r="AE25" s="286">
        <f t="shared" si="6"/>
        <v>0.06271016311166876</v>
      </c>
    </row>
    <row r="26" spans="1:31" ht="12.75">
      <c r="A26" t="s">
        <v>82</v>
      </c>
      <c r="B26" s="10">
        <v>5</v>
      </c>
      <c r="C26" s="10" t="s">
        <v>391</v>
      </c>
      <c r="D26" s="10"/>
      <c r="E26" s="10" t="s">
        <v>391</v>
      </c>
      <c r="F26" s="41"/>
      <c r="G26" s="10" t="s">
        <v>391</v>
      </c>
      <c r="H26" s="41"/>
      <c r="I26" s="10" t="s">
        <v>391</v>
      </c>
      <c r="J26" s="41"/>
      <c r="K26" s="10" t="s">
        <v>391</v>
      </c>
      <c r="L26" s="41"/>
      <c r="M26" s="41" t="s">
        <v>414</v>
      </c>
      <c r="N26" s="276">
        <v>0.89</v>
      </c>
      <c r="O26" s="278">
        <v>1.03</v>
      </c>
      <c r="P26" s="162">
        <f t="shared" si="0"/>
        <v>1</v>
      </c>
      <c r="Q26" s="162">
        <f t="shared" si="1"/>
        <v>1</v>
      </c>
      <c r="R26" s="275">
        <v>38.6</v>
      </c>
      <c r="S26" s="275">
        <v>87.31</v>
      </c>
      <c r="T26" s="275">
        <v>26.68</v>
      </c>
      <c r="U26" s="162">
        <f t="shared" si="2"/>
        <v>0</v>
      </c>
      <c r="V26" s="162">
        <f t="shared" si="3"/>
        <v>1</v>
      </c>
      <c r="W26" s="162">
        <f t="shared" si="7"/>
        <v>0</v>
      </c>
      <c r="X26" s="83">
        <f t="shared" si="8"/>
        <v>30</v>
      </c>
      <c r="AC26" s="286">
        <f t="shared" si="4"/>
        <v>0.39350690087829365</v>
      </c>
      <c r="AD26" s="286">
        <f t="shared" si="5"/>
        <v>0.6709833751568381</v>
      </c>
      <c r="AE26" s="286">
        <f t="shared" si="6"/>
        <v>0.20503764115432874</v>
      </c>
    </row>
    <row r="27" spans="1:31" ht="12.75">
      <c r="A27" t="s">
        <v>50</v>
      </c>
      <c r="B27" s="7">
        <v>124</v>
      </c>
      <c r="C27" s="7" t="s">
        <v>528</v>
      </c>
      <c r="D27" s="7"/>
      <c r="E27" s="7" t="s">
        <v>528</v>
      </c>
      <c r="F27" s="41"/>
      <c r="G27" s="7" t="s">
        <v>528</v>
      </c>
      <c r="H27" s="41"/>
      <c r="I27" s="7" t="s">
        <v>528</v>
      </c>
      <c r="J27" s="41"/>
      <c r="K27" s="7" t="s">
        <v>528</v>
      </c>
      <c r="L27" s="41"/>
      <c r="M27" s="41" t="s">
        <v>414</v>
      </c>
      <c r="N27" s="276">
        <v>0.36</v>
      </c>
      <c r="O27" s="278">
        <v>0.43</v>
      </c>
      <c r="P27" s="162">
        <f t="shared" si="0"/>
        <v>0</v>
      </c>
      <c r="Q27" s="162">
        <f t="shared" si="1"/>
        <v>0</v>
      </c>
      <c r="R27" s="275">
        <v>29.4</v>
      </c>
      <c r="S27" s="275">
        <v>31.38</v>
      </c>
      <c r="T27" s="275">
        <v>20.83</v>
      </c>
      <c r="U27" s="162">
        <f t="shared" si="2"/>
        <v>0</v>
      </c>
      <c r="V27" s="162">
        <f t="shared" si="3"/>
        <v>0</v>
      </c>
      <c r="W27" s="162">
        <f t="shared" si="7"/>
        <v>0</v>
      </c>
      <c r="X27" s="83">
        <f t="shared" si="8"/>
        <v>30</v>
      </c>
      <c r="AC27" s="286">
        <f t="shared" si="4"/>
        <v>0.2997176913425345</v>
      </c>
      <c r="AD27" s="286">
        <f t="shared" si="5"/>
        <v>0.24115746549560851</v>
      </c>
      <c r="AE27" s="286">
        <f t="shared" si="6"/>
        <v>0.16007998745294855</v>
      </c>
    </row>
    <row r="28" spans="1:31" ht="12.75">
      <c r="A28" t="s">
        <v>272</v>
      </c>
      <c r="B28" s="10">
        <v>271</v>
      </c>
      <c r="C28" s="8" t="s">
        <v>612</v>
      </c>
      <c r="D28" s="10"/>
      <c r="E28" s="8" t="s">
        <v>612</v>
      </c>
      <c r="F28" s="41"/>
      <c r="G28" s="8" t="s">
        <v>612</v>
      </c>
      <c r="H28" s="159"/>
      <c r="I28" s="8" t="s">
        <v>612</v>
      </c>
      <c r="J28" s="41"/>
      <c r="K28" s="8" t="s">
        <v>612</v>
      </c>
      <c r="L28" s="41"/>
      <c r="M28" s="41" t="s">
        <v>414</v>
      </c>
      <c r="N28" s="276">
        <v>0.59</v>
      </c>
      <c r="O28" s="278">
        <v>0.69</v>
      </c>
      <c r="P28" s="162">
        <f t="shared" si="0"/>
        <v>0</v>
      </c>
      <c r="Q28" s="162">
        <f t="shared" si="1"/>
        <v>0</v>
      </c>
      <c r="R28" s="275">
        <v>24.89</v>
      </c>
      <c r="S28" s="275">
        <v>19.21</v>
      </c>
      <c r="T28" s="275">
        <v>11.22</v>
      </c>
      <c r="U28" s="162">
        <f t="shared" si="2"/>
        <v>0</v>
      </c>
      <c r="V28" s="162">
        <f t="shared" si="3"/>
        <v>0</v>
      </c>
      <c r="W28" s="162">
        <f t="shared" si="7"/>
        <v>0</v>
      </c>
      <c r="X28" s="83">
        <f t="shared" si="8"/>
        <v>60</v>
      </c>
      <c r="AC28" s="286">
        <f t="shared" si="4"/>
        <v>0.25374058971141783</v>
      </c>
      <c r="AD28" s="286">
        <f t="shared" si="5"/>
        <v>0.14763017565872022</v>
      </c>
      <c r="AE28" s="286">
        <f t="shared" si="6"/>
        <v>0.08622647427854455</v>
      </c>
    </row>
    <row r="29" spans="1:31" ht="12.75">
      <c r="A29" t="s">
        <v>215</v>
      </c>
      <c r="B29" s="7">
        <v>903</v>
      </c>
      <c r="C29" s="7" t="s">
        <v>507</v>
      </c>
      <c r="D29" s="7"/>
      <c r="E29" s="7" t="s">
        <v>507</v>
      </c>
      <c r="F29" s="41"/>
      <c r="G29" s="7" t="s">
        <v>507</v>
      </c>
      <c r="H29" s="41"/>
      <c r="I29" s="7" t="s">
        <v>507</v>
      </c>
      <c r="J29" s="41"/>
      <c r="K29" s="7" t="s">
        <v>507</v>
      </c>
      <c r="L29" s="41"/>
      <c r="M29" s="41" t="s">
        <v>410</v>
      </c>
      <c r="N29" s="276">
        <v>0.72</v>
      </c>
      <c r="O29" s="278">
        <v>0.52</v>
      </c>
      <c r="P29" s="162">
        <f>IF(N29="N/A","N/A",IF(N29&gt;=$N$122,$O$122,IF(N29&gt;=$N$123,$O$123,0)))</f>
        <v>0</v>
      </c>
      <c r="Q29" s="162">
        <f>IF(O29="N/A","N/A",IF(O29&gt;=$N$122,$O$122,IF(O29&gt;=$N$123,$O$123,0)))</f>
        <v>0</v>
      </c>
      <c r="R29" s="275">
        <v>20.17</v>
      </c>
      <c r="S29" s="275">
        <v>17.84</v>
      </c>
      <c r="T29" s="275">
        <v>13.14</v>
      </c>
      <c r="U29" s="162">
        <f t="shared" si="2"/>
        <v>0</v>
      </c>
      <c r="V29" s="162">
        <f t="shared" si="3"/>
        <v>0</v>
      </c>
      <c r="W29" s="162">
        <f t="shared" si="7"/>
        <v>0</v>
      </c>
      <c r="X29" s="83">
        <f t="shared" si="8"/>
        <v>60</v>
      </c>
      <c r="AC29" s="286">
        <f t="shared" si="4"/>
        <v>0.17715181932245924</v>
      </c>
      <c r="AD29" s="286">
        <f t="shared" si="5"/>
        <v>0.13710163111668758</v>
      </c>
      <c r="AE29" s="286">
        <f t="shared" si="6"/>
        <v>0.10098180677540779</v>
      </c>
    </row>
    <row r="30" spans="1:31" ht="12.75">
      <c r="A30" s="14" t="s">
        <v>275</v>
      </c>
      <c r="B30" s="10">
        <v>269</v>
      </c>
      <c r="C30" s="9" t="s">
        <v>574</v>
      </c>
      <c r="D30" s="10"/>
      <c r="E30" s="9" t="s">
        <v>574</v>
      </c>
      <c r="F30" s="41"/>
      <c r="G30" s="9" t="s">
        <v>574</v>
      </c>
      <c r="H30" s="41"/>
      <c r="I30" s="9" t="s">
        <v>574</v>
      </c>
      <c r="J30" s="41"/>
      <c r="K30" s="9" t="s">
        <v>574</v>
      </c>
      <c r="L30" s="41"/>
      <c r="M30" s="41" t="s">
        <v>410</v>
      </c>
      <c r="N30" s="276">
        <v>0.29</v>
      </c>
      <c r="O30" s="277">
        <v>0.3</v>
      </c>
      <c r="P30" s="162">
        <f aca="true" t="shared" si="9" ref="P30:P93">IF(N30="N/A","N/A",IF(N30&gt;=$N$122,$O$122,IF(N30&gt;=$N$123,$O$123,0)))</f>
        <v>0</v>
      </c>
      <c r="Q30" s="162">
        <f aca="true" t="shared" si="10" ref="Q30:Q93">IF(O30="N/A","N/A",IF(O30&gt;=$N$122,$O$122,IF(O30&gt;=$N$123,$O$123,0)))</f>
        <v>0</v>
      </c>
      <c r="R30" s="275">
        <v>11.97</v>
      </c>
      <c r="S30" s="275">
        <v>7.93</v>
      </c>
      <c r="T30" s="276" t="s">
        <v>579</v>
      </c>
      <c r="U30" s="162">
        <f t="shared" si="2"/>
        <v>0</v>
      </c>
      <c r="V30" s="162">
        <f t="shared" si="3"/>
        <v>0</v>
      </c>
      <c r="W30" s="162" t="str">
        <f t="shared" si="7"/>
        <v>N/A</v>
      </c>
      <c r="X30" s="83" t="str">
        <f t="shared" si="8"/>
        <v>N/A</v>
      </c>
      <c r="AC30" s="286">
        <f t="shared" si="4"/>
        <v>0.10513174404015058</v>
      </c>
      <c r="AD30" s="286">
        <f t="shared" si="5"/>
        <v>0.060942597239648684</v>
      </c>
      <c r="AE30" s="286" t="str">
        <f t="shared" si="6"/>
        <v>N/A</v>
      </c>
    </row>
    <row r="31" spans="1:31" ht="12.75">
      <c r="A31" t="s">
        <v>218</v>
      </c>
      <c r="B31" s="7">
        <v>182</v>
      </c>
      <c r="C31" s="7" t="s">
        <v>544</v>
      </c>
      <c r="D31" s="7"/>
      <c r="E31" s="7" t="s">
        <v>544</v>
      </c>
      <c r="F31" s="41"/>
      <c r="G31" s="7" t="s">
        <v>544</v>
      </c>
      <c r="H31" s="41"/>
      <c r="I31" s="7" t="s">
        <v>544</v>
      </c>
      <c r="J31" s="41"/>
      <c r="K31" s="7" t="s">
        <v>544</v>
      </c>
      <c r="L31" s="41"/>
      <c r="M31" s="41" t="s">
        <v>410</v>
      </c>
      <c r="N31" s="276">
        <v>0.3</v>
      </c>
      <c r="O31" s="278">
        <v>0.42</v>
      </c>
      <c r="P31" s="162">
        <f t="shared" si="9"/>
        <v>0</v>
      </c>
      <c r="Q31" s="162">
        <f t="shared" si="10"/>
        <v>0</v>
      </c>
      <c r="R31" s="275">
        <v>16.39</v>
      </c>
      <c r="S31" s="275">
        <v>9.78</v>
      </c>
      <c r="T31" s="276" t="s">
        <v>579</v>
      </c>
      <c r="U31" s="162">
        <f t="shared" si="2"/>
        <v>0</v>
      </c>
      <c r="V31" s="162">
        <f t="shared" si="3"/>
        <v>0</v>
      </c>
      <c r="W31" s="162" t="str">
        <f t="shared" si="7"/>
        <v>N/A</v>
      </c>
      <c r="X31" s="83" t="str">
        <f t="shared" si="8"/>
        <v>N/A</v>
      </c>
      <c r="AC31" s="286">
        <f t="shared" si="4"/>
        <v>0.14395232120451698</v>
      </c>
      <c r="AD31" s="286">
        <f t="shared" si="5"/>
        <v>0.07515997490589711</v>
      </c>
      <c r="AE31" s="286" t="str">
        <f t="shared" si="6"/>
        <v>N/A</v>
      </c>
    </row>
    <row r="32" spans="1:31" ht="12.75">
      <c r="A32" t="s">
        <v>277</v>
      </c>
      <c r="B32" s="10">
        <v>234</v>
      </c>
      <c r="C32" s="10" t="s">
        <v>450</v>
      </c>
      <c r="D32" s="10"/>
      <c r="E32" s="10" t="s">
        <v>450</v>
      </c>
      <c r="F32" s="41"/>
      <c r="G32" s="10" t="s">
        <v>450</v>
      </c>
      <c r="H32" s="41"/>
      <c r="I32" s="10" t="s">
        <v>450</v>
      </c>
      <c r="J32" s="41"/>
      <c r="K32" s="10" t="s">
        <v>450</v>
      </c>
      <c r="L32" s="41"/>
      <c r="M32" s="41" t="s">
        <v>410</v>
      </c>
      <c r="N32" s="276">
        <v>1.21</v>
      </c>
      <c r="O32" s="278">
        <v>0.48</v>
      </c>
      <c r="P32" s="162">
        <f t="shared" si="9"/>
        <v>1</v>
      </c>
      <c r="Q32" s="162">
        <f t="shared" si="10"/>
        <v>0</v>
      </c>
      <c r="R32" s="275">
        <v>29.81</v>
      </c>
      <c r="S32" s="275">
        <v>31.32</v>
      </c>
      <c r="T32" s="275">
        <v>8.89</v>
      </c>
      <c r="U32" s="162">
        <f t="shared" si="2"/>
        <v>0</v>
      </c>
      <c r="V32" s="162">
        <f t="shared" si="3"/>
        <v>0</v>
      </c>
      <c r="W32" s="162">
        <f t="shared" si="7"/>
        <v>0</v>
      </c>
      <c r="X32" s="83">
        <f t="shared" si="8"/>
        <v>0</v>
      </c>
      <c r="AC32" s="286">
        <f t="shared" si="4"/>
        <v>0.26181932245922207</v>
      </c>
      <c r="AD32" s="286">
        <f t="shared" si="5"/>
        <v>0.24069636135508157</v>
      </c>
      <c r="AE32" s="286">
        <f t="shared" si="6"/>
        <v>0.06832026348808032</v>
      </c>
    </row>
    <row r="33" spans="1:31" ht="12.75">
      <c r="A33" t="s">
        <v>221</v>
      </c>
      <c r="B33" s="7">
        <v>186</v>
      </c>
      <c r="C33" s="158" t="s">
        <v>521</v>
      </c>
      <c r="D33" s="7"/>
      <c r="E33" s="158" t="s">
        <v>521</v>
      </c>
      <c r="F33" s="41"/>
      <c r="G33" s="158" t="s">
        <v>521</v>
      </c>
      <c r="H33" s="41"/>
      <c r="I33" s="158" t="s">
        <v>521</v>
      </c>
      <c r="J33" s="41"/>
      <c r="K33" s="158" t="s">
        <v>521</v>
      </c>
      <c r="L33" s="41"/>
      <c r="M33" s="41" t="s">
        <v>410</v>
      </c>
      <c r="N33" s="276">
        <v>0.43</v>
      </c>
      <c r="O33" s="278">
        <v>0.3</v>
      </c>
      <c r="P33" s="162">
        <f t="shared" si="9"/>
        <v>0</v>
      </c>
      <c r="Q33" s="162">
        <f t="shared" si="10"/>
        <v>0</v>
      </c>
      <c r="R33" s="275">
        <v>7.82</v>
      </c>
      <c r="S33" s="275">
        <v>9.9</v>
      </c>
      <c r="T33" s="276" t="s">
        <v>579</v>
      </c>
      <c r="U33" s="162">
        <f t="shared" si="2"/>
        <v>0</v>
      </c>
      <c r="V33" s="162">
        <f t="shared" si="3"/>
        <v>0</v>
      </c>
      <c r="W33" s="162" t="str">
        <f t="shared" si="7"/>
        <v>N/A</v>
      </c>
      <c r="X33" s="83" t="str">
        <f t="shared" si="8"/>
        <v>N/A</v>
      </c>
      <c r="AC33" s="286">
        <f t="shared" si="4"/>
        <v>0.06868255959849437</v>
      </c>
      <c r="AD33" s="286">
        <f t="shared" si="5"/>
        <v>0.07608218318695106</v>
      </c>
      <c r="AE33" s="286" t="str">
        <f t="shared" si="6"/>
        <v>N/A</v>
      </c>
    </row>
    <row r="34" spans="1:31" ht="12.75">
      <c r="A34" t="s">
        <v>224</v>
      </c>
      <c r="B34" s="10">
        <v>331</v>
      </c>
      <c r="C34" s="10" t="s">
        <v>479</v>
      </c>
      <c r="D34" s="10"/>
      <c r="E34" s="10" t="s">
        <v>479</v>
      </c>
      <c r="F34" s="41"/>
      <c r="G34" s="10" t="s">
        <v>479</v>
      </c>
      <c r="H34" s="41"/>
      <c r="I34" s="10" t="s">
        <v>479</v>
      </c>
      <c r="J34" s="41"/>
      <c r="K34" s="10" t="s">
        <v>479</v>
      </c>
      <c r="L34" s="41"/>
      <c r="M34" s="41" t="s">
        <v>410</v>
      </c>
      <c r="N34" s="276">
        <v>1.97</v>
      </c>
      <c r="O34" s="278">
        <v>1.18</v>
      </c>
      <c r="P34" s="162">
        <f t="shared" si="9"/>
        <v>2</v>
      </c>
      <c r="Q34" s="162">
        <f t="shared" si="10"/>
        <v>1</v>
      </c>
      <c r="R34" s="275">
        <v>41.47</v>
      </c>
      <c r="S34" s="275">
        <v>50.52</v>
      </c>
      <c r="T34" s="275">
        <v>11.85</v>
      </c>
      <c r="U34" s="162">
        <f t="shared" si="2"/>
        <v>0</v>
      </c>
      <c r="V34" s="162">
        <f t="shared" si="3"/>
        <v>0</v>
      </c>
      <c r="W34" s="162">
        <f t="shared" si="7"/>
        <v>0</v>
      </c>
      <c r="X34" s="83">
        <f t="shared" si="8"/>
        <v>60</v>
      </c>
      <c r="AC34" s="286">
        <f t="shared" si="4"/>
        <v>0.36422835633626105</v>
      </c>
      <c r="AD34" s="286">
        <f t="shared" si="5"/>
        <v>0.3882496863237139</v>
      </c>
      <c r="AE34" s="286">
        <f t="shared" si="6"/>
        <v>0.09106806775407779</v>
      </c>
    </row>
    <row r="35" spans="1:31" ht="12.75">
      <c r="A35" t="s">
        <v>167</v>
      </c>
      <c r="B35" s="7">
        <v>164</v>
      </c>
      <c r="C35" s="7" t="s">
        <v>518</v>
      </c>
      <c r="D35" s="7"/>
      <c r="E35" s="7" t="s">
        <v>518</v>
      </c>
      <c r="F35" s="62"/>
      <c r="G35" s="7" t="s">
        <v>518</v>
      </c>
      <c r="H35" s="62"/>
      <c r="I35" s="7" t="s">
        <v>518</v>
      </c>
      <c r="J35" s="62"/>
      <c r="K35" s="7" t="s">
        <v>518</v>
      </c>
      <c r="L35" s="62"/>
      <c r="M35" s="41" t="s">
        <v>410</v>
      </c>
      <c r="N35" s="276">
        <v>0.42</v>
      </c>
      <c r="O35" s="278">
        <v>0.76</v>
      </c>
      <c r="P35" s="162">
        <f t="shared" si="9"/>
        <v>0</v>
      </c>
      <c r="Q35" s="162">
        <f t="shared" si="10"/>
        <v>0</v>
      </c>
      <c r="R35" s="275">
        <v>25.98</v>
      </c>
      <c r="S35" s="275">
        <v>25.49</v>
      </c>
      <c r="T35" s="275">
        <v>22.82</v>
      </c>
      <c r="U35" s="162">
        <f t="shared" si="2"/>
        <v>0</v>
      </c>
      <c r="V35" s="162">
        <f t="shared" si="3"/>
        <v>0</v>
      </c>
      <c r="W35" s="162">
        <f t="shared" si="7"/>
        <v>0</v>
      </c>
      <c r="X35" s="83">
        <f t="shared" si="8"/>
        <v>30</v>
      </c>
      <c r="AC35" s="286">
        <f t="shared" si="4"/>
        <v>0.22818067754077795</v>
      </c>
      <c r="AD35" s="286">
        <f t="shared" si="5"/>
        <v>0.19589240903387703</v>
      </c>
      <c r="AE35" s="286">
        <f t="shared" si="6"/>
        <v>0.17537327478042658</v>
      </c>
    </row>
    <row r="36" spans="1:31" ht="12.75">
      <c r="A36" s="14" t="s">
        <v>188</v>
      </c>
      <c r="B36" s="8" t="s">
        <v>191</v>
      </c>
      <c r="C36" s="8" t="s">
        <v>449</v>
      </c>
      <c r="D36" s="9"/>
      <c r="E36" s="8" t="s">
        <v>449</v>
      </c>
      <c r="F36" s="62"/>
      <c r="G36" s="8" t="s">
        <v>449</v>
      </c>
      <c r="H36" s="62"/>
      <c r="I36" s="8" t="s">
        <v>449</v>
      </c>
      <c r="J36" s="62"/>
      <c r="K36" s="8" t="s">
        <v>449</v>
      </c>
      <c r="L36" s="62"/>
      <c r="M36" s="41" t="s">
        <v>414</v>
      </c>
      <c r="N36" s="276">
        <v>7.06</v>
      </c>
      <c r="O36" s="278">
        <v>0.56</v>
      </c>
      <c r="P36" s="162">
        <f t="shared" si="9"/>
        <v>2</v>
      </c>
      <c r="Q36" s="162">
        <f t="shared" si="10"/>
        <v>0</v>
      </c>
      <c r="R36" s="275">
        <v>30.8</v>
      </c>
      <c r="S36" s="275">
        <v>71.23</v>
      </c>
      <c r="T36" s="275">
        <v>18.41</v>
      </c>
      <c r="U36" s="162">
        <f t="shared" si="2"/>
        <v>0</v>
      </c>
      <c r="V36" s="162">
        <f t="shared" si="3"/>
        <v>1</v>
      </c>
      <c r="W36" s="162">
        <f t="shared" si="7"/>
        <v>0</v>
      </c>
      <c r="X36" s="83">
        <f t="shared" si="8"/>
        <v>60</v>
      </c>
      <c r="AC36" s="286">
        <f t="shared" si="4"/>
        <v>0.3139899623588457</v>
      </c>
      <c r="AD36" s="286">
        <f t="shared" si="5"/>
        <v>0.5474074654956086</v>
      </c>
      <c r="AE36" s="286">
        <f t="shared" si="6"/>
        <v>0.14148212045169384</v>
      </c>
    </row>
    <row r="37" spans="1:31" ht="12.75">
      <c r="A37" t="s">
        <v>170</v>
      </c>
      <c r="B37" s="7">
        <v>148</v>
      </c>
      <c r="C37" s="7" t="s">
        <v>505</v>
      </c>
      <c r="D37" s="7"/>
      <c r="E37" s="7" t="s">
        <v>505</v>
      </c>
      <c r="F37" s="62"/>
      <c r="G37" s="7" t="s">
        <v>505</v>
      </c>
      <c r="H37" s="62"/>
      <c r="I37" s="7" t="s">
        <v>505</v>
      </c>
      <c r="J37" s="62"/>
      <c r="K37" s="7" t="s">
        <v>505</v>
      </c>
      <c r="L37" s="62"/>
      <c r="M37" s="41" t="s">
        <v>410</v>
      </c>
      <c r="N37" s="276">
        <v>0.51</v>
      </c>
      <c r="O37" s="278">
        <v>0.46</v>
      </c>
      <c r="P37" s="162">
        <f t="shared" si="9"/>
        <v>0</v>
      </c>
      <c r="Q37" s="162">
        <f t="shared" si="10"/>
        <v>0</v>
      </c>
      <c r="R37" s="275">
        <v>27.21</v>
      </c>
      <c r="S37" s="275">
        <v>24.03</v>
      </c>
      <c r="T37" s="275">
        <v>13.67</v>
      </c>
      <c r="U37" s="162">
        <f aca="true" t="shared" si="11" ref="U37:U68">IF(M37="One-Zone",IF(R37&gt;$W$125,$X$125,IF(R37&gt;$W$127,$X$127,0)),IF(R37&gt;$W$126,$X$126,IF(R37&gt;$W$128,$X$128,0)))</f>
        <v>0</v>
      </c>
      <c r="V37" s="162">
        <f t="shared" si="3"/>
        <v>0</v>
      </c>
      <c r="W37" s="162">
        <f t="shared" si="7"/>
        <v>0</v>
      </c>
      <c r="X37" s="83">
        <f t="shared" si="8"/>
        <v>60</v>
      </c>
      <c r="AC37" s="286">
        <f t="shared" si="4"/>
        <v>0.23898368883312426</v>
      </c>
      <c r="AD37" s="286">
        <f t="shared" si="5"/>
        <v>0.18467220828105396</v>
      </c>
      <c r="AE37" s="286">
        <f t="shared" si="6"/>
        <v>0.10505489335006274</v>
      </c>
    </row>
    <row r="38" spans="1:31" ht="12.75">
      <c r="A38" t="s">
        <v>173</v>
      </c>
      <c r="B38" s="9" t="s">
        <v>175</v>
      </c>
      <c r="C38" s="9" t="s">
        <v>519</v>
      </c>
      <c r="D38" s="9" t="s">
        <v>482</v>
      </c>
      <c r="E38" s="9" t="s">
        <v>519</v>
      </c>
      <c r="F38" s="62"/>
      <c r="G38" s="9" t="s">
        <v>519</v>
      </c>
      <c r="H38" s="62"/>
      <c r="I38" s="9" t="s">
        <v>519</v>
      </c>
      <c r="J38" s="62"/>
      <c r="K38" s="9" t="s">
        <v>519</v>
      </c>
      <c r="L38" s="62"/>
      <c r="M38" s="41" t="s">
        <v>410</v>
      </c>
      <c r="N38" s="276">
        <v>0.67</v>
      </c>
      <c r="O38" s="278">
        <v>0.59</v>
      </c>
      <c r="P38" s="162">
        <f t="shared" si="9"/>
        <v>0</v>
      </c>
      <c r="Q38" s="162">
        <f t="shared" si="10"/>
        <v>0</v>
      </c>
      <c r="R38" s="275">
        <v>34.33</v>
      </c>
      <c r="S38" s="275">
        <v>39.87</v>
      </c>
      <c r="T38" s="275">
        <v>20.3</v>
      </c>
      <c r="U38" s="162">
        <f t="shared" si="11"/>
        <v>0</v>
      </c>
      <c r="V38" s="162">
        <f t="shared" si="3"/>
        <v>0</v>
      </c>
      <c r="W38" s="162">
        <f t="shared" si="7"/>
        <v>0</v>
      </c>
      <c r="X38" s="83">
        <f t="shared" si="8"/>
        <v>60</v>
      </c>
      <c r="AC38" s="286">
        <f t="shared" si="4"/>
        <v>0.3015181932245923</v>
      </c>
      <c r="AD38" s="286">
        <f t="shared" si="5"/>
        <v>0.30640370138017564</v>
      </c>
      <c r="AE38" s="286">
        <f t="shared" si="6"/>
        <v>0.1560069008782936</v>
      </c>
    </row>
    <row r="39" spans="1:31" ht="12.75">
      <c r="A39" t="s">
        <v>227</v>
      </c>
      <c r="B39" s="7">
        <v>107</v>
      </c>
      <c r="C39" s="158" t="s">
        <v>494</v>
      </c>
      <c r="D39" s="7"/>
      <c r="E39" s="158" t="s">
        <v>494</v>
      </c>
      <c r="F39" s="62"/>
      <c r="G39" s="158" t="s">
        <v>494</v>
      </c>
      <c r="H39" s="62"/>
      <c r="I39" s="158" t="s">
        <v>494</v>
      </c>
      <c r="J39" s="62"/>
      <c r="K39" s="158" t="s">
        <v>494</v>
      </c>
      <c r="L39" s="62"/>
      <c r="M39" s="41" t="s">
        <v>414</v>
      </c>
      <c r="N39" s="276">
        <v>0.59</v>
      </c>
      <c r="O39" s="278">
        <v>0.45</v>
      </c>
      <c r="P39" s="162">
        <f t="shared" si="9"/>
        <v>0</v>
      </c>
      <c r="Q39" s="162">
        <f t="shared" si="10"/>
        <v>0</v>
      </c>
      <c r="R39" s="275">
        <v>57.41</v>
      </c>
      <c r="S39" s="275">
        <v>23</v>
      </c>
      <c r="T39" s="275">
        <v>12.24</v>
      </c>
      <c r="U39" s="162">
        <f t="shared" si="11"/>
        <v>1</v>
      </c>
      <c r="V39" s="162">
        <f t="shared" si="3"/>
        <v>0</v>
      </c>
      <c r="W39" s="162">
        <f t="shared" si="7"/>
        <v>0</v>
      </c>
      <c r="X39" s="83">
        <f t="shared" si="8"/>
        <v>60</v>
      </c>
      <c r="AC39" s="286">
        <f t="shared" si="4"/>
        <v>0.5852650564617314</v>
      </c>
      <c r="AD39" s="286">
        <f t="shared" si="5"/>
        <v>0.17675658720200751</v>
      </c>
      <c r="AE39" s="286">
        <f t="shared" si="6"/>
        <v>0.09406524466750314</v>
      </c>
    </row>
    <row r="40" spans="1:31" ht="12.75">
      <c r="A40" t="s">
        <v>229</v>
      </c>
      <c r="B40" s="10">
        <v>168</v>
      </c>
      <c r="C40" s="10" t="s">
        <v>478</v>
      </c>
      <c r="D40" s="10"/>
      <c r="E40" s="10" t="s">
        <v>478</v>
      </c>
      <c r="F40" s="62"/>
      <c r="G40" s="10" t="s">
        <v>478</v>
      </c>
      <c r="H40" s="62"/>
      <c r="I40" s="10" t="s">
        <v>478</v>
      </c>
      <c r="J40" s="62"/>
      <c r="K40" s="10" t="s">
        <v>478</v>
      </c>
      <c r="L40" s="62"/>
      <c r="M40" s="41" t="s">
        <v>410</v>
      </c>
      <c r="N40" s="276">
        <v>0.46</v>
      </c>
      <c r="O40" s="278">
        <v>0.64</v>
      </c>
      <c r="P40" s="162">
        <f t="shared" si="9"/>
        <v>0</v>
      </c>
      <c r="Q40" s="162">
        <f t="shared" si="10"/>
        <v>0</v>
      </c>
      <c r="R40" s="275">
        <v>16.07</v>
      </c>
      <c r="S40" s="275">
        <v>15.77</v>
      </c>
      <c r="T40" s="275">
        <v>14.91</v>
      </c>
      <c r="U40" s="162">
        <f t="shared" si="11"/>
        <v>0</v>
      </c>
      <c r="V40" s="162">
        <f t="shared" si="3"/>
        <v>0</v>
      </c>
      <c r="W40" s="162">
        <f t="shared" si="7"/>
        <v>0</v>
      </c>
      <c r="X40" s="83">
        <f t="shared" si="8"/>
        <v>60</v>
      </c>
      <c r="AC40" s="286">
        <f t="shared" si="4"/>
        <v>0.14114178168130492</v>
      </c>
      <c r="AD40" s="286">
        <f t="shared" si="5"/>
        <v>0.1211935382685069</v>
      </c>
      <c r="AE40" s="286">
        <f t="shared" si="6"/>
        <v>0.11458437892095358</v>
      </c>
    </row>
    <row r="41" spans="1:31" ht="12.75">
      <c r="A41" t="s">
        <v>176</v>
      </c>
      <c r="B41" s="7">
        <v>106</v>
      </c>
      <c r="C41" s="7" t="s">
        <v>455</v>
      </c>
      <c r="D41" s="7"/>
      <c r="E41" s="7" t="s">
        <v>455</v>
      </c>
      <c r="F41" s="62"/>
      <c r="G41" s="7" t="s">
        <v>455</v>
      </c>
      <c r="H41" s="62"/>
      <c r="I41" s="7" t="s">
        <v>455</v>
      </c>
      <c r="J41" s="62"/>
      <c r="K41" s="7" t="s">
        <v>455</v>
      </c>
      <c r="L41" s="62"/>
      <c r="M41" s="41" t="s">
        <v>414</v>
      </c>
      <c r="N41" s="276">
        <v>1.16</v>
      </c>
      <c r="O41" s="278">
        <v>0.48</v>
      </c>
      <c r="P41" s="162">
        <f t="shared" si="9"/>
        <v>1</v>
      </c>
      <c r="Q41" s="162">
        <f t="shared" si="10"/>
        <v>0</v>
      </c>
      <c r="R41" s="275">
        <v>59.98</v>
      </c>
      <c r="S41" s="275">
        <v>33.05</v>
      </c>
      <c r="T41" s="275">
        <v>19.34</v>
      </c>
      <c r="U41" s="162">
        <f t="shared" si="11"/>
        <v>1</v>
      </c>
      <c r="V41" s="162">
        <f t="shared" si="3"/>
        <v>0</v>
      </c>
      <c r="W41" s="162">
        <f t="shared" si="7"/>
        <v>0</v>
      </c>
      <c r="X41" s="83">
        <f t="shared" si="8"/>
        <v>60</v>
      </c>
      <c r="AC41" s="286">
        <f t="shared" si="4"/>
        <v>0.6114648682559599</v>
      </c>
      <c r="AD41" s="286">
        <f t="shared" si="5"/>
        <v>0.25399153074027603</v>
      </c>
      <c r="AE41" s="286">
        <f t="shared" si="6"/>
        <v>0.14862923462986197</v>
      </c>
    </row>
    <row r="42" spans="1:31" ht="12.75">
      <c r="A42" t="s">
        <v>96</v>
      </c>
      <c r="B42" s="10">
        <v>169</v>
      </c>
      <c r="C42" s="10" t="s">
        <v>487</v>
      </c>
      <c r="D42" s="10"/>
      <c r="E42" s="10" t="s">
        <v>487</v>
      </c>
      <c r="F42" s="62"/>
      <c r="G42" s="10" t="s">
        <v>487</v>
      </c>
      <c r="H42" s="62"/>
      <c r="I42" s="10" t="s">
        <v>487</v>
      </c>
      <c r="J42" s="62"/>
      <c r="K42" s="10" t="s">
        <v>487</v>
      </c>
      <c r="L42" s="62"/>
      <c r="M42" s="41" t="s">
        <v>410</v>
      </c>
      <c r="N42" s="276">
        <v>0.78</v>
      </c>
      <c r="O42" s="278">
        <v>0.67</v>
      </c>
      <c r="P42" s="162">
        <f t="shared" si="9"/>
        <v>0</v>
      </c>
      <c r="Q42" s="162">
        <f t="shared" si="10"/>
        <v>0</v>
      </c>
      <c r="R42" s="275">
        <v>22.78</v>
      </c>
      <c r="S42" s="275">
        <v>50.05</v>
      </c>
      <c r="T42" s="275">
        <v>28.52</v>
      </c>
      <c r="U42" s="162">
        <f t="shared" si="11"/>
        <v>0</v>
      </c>
      <c r="V42" s="162">
        <f t="shared" si="3"/>
        <v>0</v>
      </c>
      <c r="W42" s="162">
        <f t="shared" si="7"/>
        <v>0</v>
      </c>
      <c r="X42" s="83">
        <f t="shared" si="8"/>
        <v>30</v>
      </c>
      <c r="AC42" s="286">
        <f t="shared" si="4"/>
        <v>0.2000752823086575</v>
      </c>
      <c r="AD42" s="286">
        <f t="shared" si="5"/>
        <v>0.38463770388958596</v>
      </c>
      <c r="AE42" s="286">
        <f t="shared" si="6"/>
        <v>0.21917816813048935</v>
      </c>
    </row>
    <row r="43" spans="1:31" ht="12.75">
      <c r="A43" t="s">
        <v>131</v>
      </c>
      <c r="B43" s="7">
        <v>105</v>
      </c>
      <c r="C43" s="7" t="s">
        <v>516</v>
      </c>
      <c r="D43" s="7"/>
      <c r="E43" s="7" t="s">
        <v>516</v>
      </c>
      <c r="F43" s="62"/>
      <c r="G43" s="7" t="s">
        <v>516</v>
      </c>
      <c r="H43" s="62"/>
      <c r="I43" s="7" t="s">
        <v>516</v>
      </c>
      <c r="J43" s="62"/>
      <c r="K43" s="7" t="s">
        <v>516</v>
      </c>
      <c r="L43" s="62"/>
      <c r="M43" s="41" t="s">
        <v>410</v>
      </c>
      <c r="N43" s="276">
        <v>0.56</v>
      </c>
      <c r="O43" s="278">
        <v>0.44</v>
      </c>
      <c r="P43" s="162">
        <f t="shared" si="9"/>
        <v>0</v>
      </c>
      <c r="Q43" s="162">
        <f t="shared" si="10"/>
        <v>0</v>
      </c>
      <c r="R43" s="275">
        <v>23.46</v>
      </c>
      <c r="S43" s="275">
        <v>40.97</v>
      </c>
      <c r="T43" s="275">
        <v>19.28</v>
      </c>
      <c r="U43" s="162">
        <f t="shared" si="11"/>
        <v>0</v>
      </c>
      <c r="V43" s="162">
        <f t="shared" si="3"/>
        <v>0</v>
      </c>
      <c r="W43" s="162">
        <f t="shared" si="7"/>
        <v>0</v>
      </c>
      <c r="X43" s="83">
        <f t="shared" si="8"/>
        <v>60</v>
      </c>
      <c r="AC43" s="286">
        <f t="shared" si="4"/>
        <v>0.2060476787954831</v>
      </c>
      <c r="AD43" s="286">
        <f t="shared" si="5"/>
        <v>0.31485727728983687</v>
      </c>
      <c r="AE43" s="286">
        <f t="shared" si="6"/>
        <v>0.14816813048933503</v>
      </c>
    </row>
    <row r="44" spans="1:31" ht="12.75">
      <c r="A44" t="s">
        <v>100</v>
      </c>
      <c r="B44" s="10">
        <v>150</v>
      </c>
      <c r="C44" s="10" t="s">
        <v>512</v>
      </c>
      <c r="D44" s="10"/>
      <c r="E44" s="10" t="s">
        <v>512</v>
      </c>
      <c r="F44" s="62"/>
      <c r="G44" s="10" t="s">
        <v>512</v>
      </c>
      <c r="H44" s="62"/>
      <c r="I44" s="10" t="s">
        <v>512</v>
      </c>
      <c r="J44" s="62"/>
      <c r="K44" s="10" t="s">
        <v>512</v>
      </c>
      <c r="L44" s="62"/>
      <c r="M44" s="41" t="s">
        <v>414</v>
      </c>
      <c r="N44" s="276">
        <v>0.71</v>
      </c>
      <c r="O44" s="278">
        <v>1.08</v>
      </c>
      <c r="P44" s="162">
        <f t="shared" si="9"/>
        <v>0</v>
      </c>
      <c r="Q44" s="162">
        <f t="shared" si="10"/>
        <v>1</v>
      </c>
      <c r="R44" s="275">
        <v>28.97</v>
      </c>
      <c r="S44" s="275">
        <v>55.28</v>
      </c>
      <c r="T44" s="275">
        <v>21.37</v>
      </c>
      <c r="U44" s="162">
        <f t="shared" si="11"/>
        <v>0</v>
      </c>
      <c r="V44" s="162">
        <f t="shared" si="3"/>
        <v>0</v>
      </c>
      <c r="W44" s="162">
        <f t="shared" si="7"/>
        <v>0</v>
      </c>
      <c r="X44" s="83">
        <f t="shared" si="8"/>
        <v>30</v>
      </c>
      <c r="AC44" s="286">
        <f t="shared" si="4"/>
        <v>0.29533406524466754</v>
      </c>
      <c r="AD44" s="286">
        <f t="shared" si="5"/>
        <v>0.4248306148055207</v>
      </c>
      <c r="AE44" s="286">
        <f t="shared" si="6"/>
        <v>0.16422992471769138</v>
      </c>
    </row>
    <row r="45" spans="1:31" ht="12.75">
      <c r="A45" t="s">
        <v>279</v>
      </c>
      <c r="B45" s="7">
        <v>204</v>
      </c>
      <c r="C45" s="7" t="s">
        <v>548</v>
      </c>
      <c r="D45" s="7"/>
      <c r="E45" s="7" t="s">
        <v>548</v>
      </c>
      <c r="F45" s="62"/>
      <c r="G45" s="7" t="s">
        <v>548</v>
      </c>
      <c r="H45" s="62"/>
      <c r="I45" s="7" t="s">
        <v>548</v>
      </c>
      <c r="J45" s="62"/>
      <c r="K45" s="7" t="s">
        <v>548</v>
      </c>
      <c r="L45" s="62"/>
      <c r="M45" s="41" t="s">
        <v>410</v>
      </c>
      <c r="N45" s="276">
        <v>0.61</v>
      </c>
      <c r="O45" s="278">
        <v>0.34</v>
      </c>
      <c r="P45" s="162">
        <f t="shared" si="9"/>
        <v>0</v>
      </c>
      <c r="Q45" s="162">
        <f t="shared" si="10"/>
        <v>0</v>
      </c>
      <c r="R45" s="275">
        <v>43.01</v>
      </c>
      <c r="S45" s="275">
        <v>23.96</v>
      </c>
      <c r="T45" s="276" t="s">
        <v>579</v>
      </c>
      <c r="U45" s="162">
        <f t="shared" si="11"/>
        <v>0</v>
      </c>
      <c r="V45" s="162">
        <f t="shared" si="3"/>
        <v>0</v>
      </c>
      <c r="W45" s="162" t="str">
        <f t="shared" si="7"/>
        <v>N/A</v>
      </c>
      <c r="X45" s="83" t="str">
        <f t="shared" si="8"/>
        <v>N/A</v>
      </c>
      <c r="AC45" s="286">
        <f t="shared" si="4"/>
        <v>0.37775407779171893</v>
      </c>
      <c r="AD45" s="286">
        <f t="shared" si="5"/>
        <v>0.18413425345043916</v>
      </c>
      <c r="AE45" s="286" t="str">
        <f t="shared" si="6"/>
        <v>N/A</v>
      </c>
    </row>
    <row r="46" spans="1:31" ht="12.75">
      <c r="A46" t="s">
        <v>101</v>
      </c>
      <c r="B46" s="10">
        <v>180</v>
      </c>
      <c r="C46" s="10" t="s">
        <v>486</v>
      </c>
      <c r="D46" s="10"/>
      <c r="E46" s="10" t="s">
        <v>486</v>
      </c>
      <c r="F46" s="62"/>
      <c r="G46" s="10" t="s">
        <v>486</v>
      </c>
      <c r="H46" s="62"/>
      <c r="I46" s="10" t="s">
        <v>486</v>
      </c>
      <c r="J46" s="62"/>
      <c r="K46" s="10" t="s">
        <v>486</v>
      </c>
      <c r="L46" s="62"/>
      <c r="M46" s="41" t="s">
        <v>410</v>
      </c>
      <c r="N46" s="276">
        <v>0.41</v>
      </c>
      <c r="O46" s="278">
        <v>0.73</v>
      </c>
      <c r="P46" s="162">
        <f t="shared" si="9"/>
        <v>0</v>
      </c>
      <c r="Q46" s="162">
        <f t="shared" si="10"/>
        <v>0</v>
      </c>
      <c r="R46" s="275">
        <v>16.55</v>
      </c>
      <c r="S46" s="275">
        <v>31.71</v>
      </c>
      <c r="T46" s="276" t="s">
        <v>579</v>
      </c>
      <c r="U46" s="162">
        <f t="shared" si="11"/>
        <v>0</v>
      </c>
      <c r="V46" s="162">
        <f t="shared" si="3"/>
        <v>0</v>
      </c>
      <c r="W46" s="162" t="str">
        <f t="shared" si="7"/>
        <v>N/A</v>
      </c>
      <c r="X46" s="83" t="str">
        <f t="shared" si="8"/>
        <v>N/A</v>
      </c>
      <c r="AC46" s="286">
        <f t="shared" si="4"/>
        <v>0.14535759096612297</v>
      </c>
      <c r="AD46" s="286">
        <f t="shared" si="5"/>
        <v>0.24369353826850693</v>
      </c>
      <c r="AE46" s="286" t="str">
        <f t="shared" si="6"/>
        <v>N/A</v>
      </c>
    </row>
    <row r="47" spans="1:31" ht="12.75">
      <c r="A47" t="s">
        <v>178</v>
      </c>
      <c r="B47" s="7">
        <v>346</v>
      </c>
      <c r="C47" s="7" t="s">
        <v>525</v>
      </c>
      <c r="D47" s="7"/>
      <c r="E47" s="7" t="s">
        <v>525</v>
      </c>
      <c r="F47" s="62"/>
      <c r="G47" s="7" t="s">
        <v>525</v>
      </c>
      <c r="H47" s="62"/>
      <c r="I47" s="7" t="s">
        <v>525</v>
      </c>
      <c r="J47" s="62"/>
      <c r="K47" s="7" t="s">
        <v>525</v>
      </c>
      <c r="L47" s="62"/>
      <c r="M47" s="41" t="s">
        <v>414</v>
      </c>
      <c r="N47" s="276">
        <v>0.56</v>
      </c>
      <c r="O47" s="278">
        <v>0.49</v>
      </c>
      <c r="P47" s="162">
        <f t="shared" si="9"/>
        <v>0</v>
      </c>
      <c r="Q47" s="162">
        <f t="shared" si="10"/>
        <v>0</v>
      </c>
      <c r="R47" s="275">
        <v>37.32</v>
      </c>
      <c r="S47" s="275">
        <v>33.53</v>
      </c>
      <c r="T47" s="275">
        <v>14.99</v>
      </c>
      <c r="U47" s="162">
        <f t="shared" si="11"/>
        <v>0</v>
      </c>
      <c r="V47" s="162">
        <f t="shared" si="3"/>
        <v>0</v>
      </c>
      <c r="W47" s="162">
        <f t="shared" si="7"/>
        <v>0</v>
      </c>
      <c r="X47" s="83">
        <f t="shared" si="8"/>
        <v>60</v>
      </c>
      <c r="AC47" s="286">
        <f t="shared" si="4"/>
        <v>0.3804579673776663</v>
      </c>
      <c r="AD47" s="286">
        <f t="shared" si="5"/>
        <v>0.25768036386449183</v>
      </c>
      <c r="AE47" s="286">
        <f t="shared" si="6"/>
        <v>0.11519918444165622</v>
      </c>
    </row>
    <row r="48" spans="1:31" ht="12.75">
      <c r="A48" t="s">
        <v>261</v>
      </c>
      <c r="B48" s="8" t="s">
        <v>263</v>
      </c>
      <c r="C48" s="8" t="s">
        <v>540</v>
      </c>
      <c r="D48" s="8"/>
      <c r="E48" s="8" t="s">
        <v>540</v>
      </c>
      <c r="F48" s="62"/>
      <c r="G48" s="8" t="s">
        <v>540</v>
      </c>
      <c r="H48" s="62"/>
      <c r="I48" s="8" t="s">
        <v>540</v>
      </c>
      <c r="J48" s="62"/>
      <c r="K48" s="8" t="s">
        <v>540</v>
      </c>
      <c r="L48" s="62"/>
      <c r="M48" s="41" t="s">
        <v>410</v>
      </c>
      <c r="N48" s="276">
        <v>0.44</v>
      </c>
      <c r="O48" s="278">
        <v>0.39</v>
      </c>
      <c r="P48" s="162">
        <f t="shared" si="9"/>
        <v>0</v>
      </c>
      <c r="Q48" s="162">
        <f t="shared" si="10"/>
        <v>0</v>
      </c>
      <c r="R48" s="275">
        <v>24.63</v>
      </c>
      <c r="S48" s="275">
        <v>53.81</v>
      </c>
      <c r="T48" s="275">
        <v>14.31</v>
      </c>
      <c r="U48" s="162">
        <f t="shared" si="11"/>
        <v>0</v>
      </c>
      <c r="V48" s="162">
        <f t="shared" si="3"/>
        <v>0</v>
      </c>
      <c r="W48" s="162">
        <f t="shared" si="7"/>
        <v>0</v>
      </c>
      <c r="X48" s="83">
        <f t="shared" si="8"/>
        <v>60</v>
      </c>
      <c r="AC48" s="286">
        <f t="shared" si="4"/>
        <v>0.21632371392722713</v>
      </c>
      <c r="AD48" s="286">
        <f t="shared" si="5"/>
        <v>0.4135335633626098</v>
      </c>
      <c r="AE48" s="286">
        <f t="shared" si="6"/>
        <v>0.10997333751568382</v>
      </c>
    </row>
    <row r="49" spans="1:31" ht="12.75">
      <c r="A49" t="s">
        <v>283</v>
      </c>
      <c r="B49" s="7">
        <v>222</v>
      </c>
      <c r="C49" s="7" t="s">
        <v>468</v>
      </c>
      <c r="D49" s="7"/>
      <c r="E49" s="7" t="s">
        <v>468</v>
      </c>
      <c r="F49" s="62"/>
      <c r="G49" s="7" t="s">
        <v>468</v>
      </c>
      <c r="H49" s="62"/>
      <c r="I49" s="7" t="s">
        <v>468</v>
      </c>
      <c r="J49" s="62"/>
      <c r="K49" s="7" t="s">
        <v>468</v>
      </c>
      <c r="L49" s="62"/>
      <c r="M49" s="41" t="s">
        <v>410</v>
      </c>
      <c r="N49" s="276">
        <v>0.83</v>
      </c>
      <c r="O49" s="278">
        <v>0.3</v>
      </c>
      <c r="P49" s="162">
        <f t="shared" si="9"/>
        <v>1</v>
      </c>
      <c r="Q49" s="162">
        <f t="shared" si="10"/>
        <v>0</v>
      </c>
      <c r="R49" s="275">
        <v>38.88</v>
      </c>
      <c r="S49" s="275">
        <v>28.38</v>
      </c>
      <c r="T49" s="275">
        <v>7.16</v>
      </c>
      <c r="U49" s="162">
        <f t="shared" si="11"/>
        <v>0</v>
      </c>
      <c r="V49" s="162">
        <f t="shared" si="3"/>
        <v>0</v>
      </c>
      <c r="W49" s="162">
        <f t="shared" si="7"/>
        <v>0</v>
      </c>
      <c r="X49" s="83">
        <f t="shared" si="8"/>
        <v>0</v>
      </c>
      <c r="AC49" s="286">
        <f t="shared" si="4"/>
        <v>0.34148055207026357</v>
      </c>
      <c r="AD49" s="286">
        <f t="shared" si="5"/>
        <v>0.21810225846925974</v>
      </c>
      <c r="AE49" s="286">
        <f t="shared" si="6"/>
        <v>0.05502509410288582</v>
      </c>
    </row>
    <row r="50" spans="1:31" ht="12.75">
      <c r="A50" t="s">
        <v>232</v>
      </c>
      <c r="B50" s="10">
        <v>245</v>
      </c>
      <c r="C50" s="10" t="s">
        <v>485</v>
      </c>
      <c r="D50" s="10"/>
      <c r="E50" s="10" t="s">
        <v>485</v>
      </c>
      <c r="F50" s="62"/>
      <c r="G50" s="10" t="s">
        <v>485</v>
      </c>
      <c r="H50" s="62"/>
      <c r="I50" s="10" t="s">
        <v>485</v>
      </c>
      <c r="J50" s="62"/>
      <c r="K50" s="10" t="s">
        <v>485</v>
      </c>
      <c r="L50" s="62"/>
      <c r="M50" s="41" t="s">
        <v>410</v>
      </c>
      <c r="N50" s="276">
        <v>0.95</v>
      </c>
      <c r="O50" s="278">
        <v>0.43</v>
      </c>
      <c r="P50" s="162">
        <f t="shared" si="9"/>
        <v>1</v>
      </c>
      <c r="Q50" s="162">
        <f t="shared" si="10"/>
        <v>0</v>
      </c>
      <c r="R50" s="275">
        <v>37.53</v>
      </c>
      <c r="S50" s="275">
        <v>38.88</v>
      </c>
      <c r="T50" s="275">
        <v>12.42</v>
      </c>
      <c r="U50" s="162">
        <f t="shared" si="11"/>
        <v>0</v>
      </c>
      <c r="V50" s="162">
        <f t="shared" si="3"/>
        <v>0</v>
      </c>
      <c r="W50" s="162">
        <f t="shared" si="7"/>
        <v>0</v>
      </c>
      <c r="X50" s="83">
        <f t="shared" si="8"/>
        <v>60</v>
      </c>
      <c r="AC50" s="286">
        <f t="shared" si="4"/>
        <v>0.32962358845671275</v>
      </c>
      <c r="AD50" s="286">
        <f t="shared" si="5"/>
        <v>0.29879548306148057</v>
      </c>
      <c r="AE50" s="286">
        <f t="shared" si="6"/>
        <v>0.09544855708908406</v>
      </c>
    </row>
    <row r="51" spans="1:31" ht="12.75">
      <c r="A51" t="s">
        <v>209</v>
      </c>
      <c r="B51" s="7">
        <v>233</v>
      </c>
      <c r="C51" s="7" t="s">
        <v>382</v>
      </c>
      <c r="D51" s="7"/>
      <c r="E51" s="7" t="s">
        <v>382</v>
      </c>
      <c r="F51" s="62"/>
      <c r="G51" s="7" t="s">
        <v>382</v>
      </c>
      <c r="H51" s="62"/>
      <c r="I51" s="7" t="s">
        <v>382</v>
      </c>
      <c r="J51" s="62"/>
      <c r="K51" s="7" t="s">
        <v>382</v>
      </c>
      <c r="L51" s="62"/>
      <c r="M51" s="41" t="s">
        <v>410</v>
      </c>
      <c r="N51" s="276">
        <v>0.79</v>
      </c>
      <c r="O51" s="278">
        <v>0.36</v>
      </c>
      <c r="P51" s="162">
        <f t="shared" si="9"/>
        <v>0</v>
      </c>
      <c r="Q51" s="162">
        <f t="shared" si="10"/>
        <v>0</v>
      </c>
      <c r="R51" s="275">
        <v>38.28</v>
      </c>
      <c r="S51" s="275">
        <v>28.74</v>
      </c>
      <c r="T51" s="276" t="s">
        <v>579</v>
      </c>
      <c r="U51" s="162">
        <f t="shared" si="11"/>
        <v>0</v>
      </c>
      <c r="V51" s="162">
        <f t="shared" si="3"/>
        <v>0</v>
      </c>
      <c r="W51" s="162" t="str">
        <f t="shared" si="7"/>
        <v>N/A</v>
      </c>
      <c r="X51" s="83" t="str">
        <f t="shared" si="8"/>
        <v>N/A</v>
      </c>
      <c r="AC51" s="286">
        <f t="shared" si="4"/>
        <v>0.33621079046424096</v>
      </c>
      <c r="AD51" s="286">
        <f t="shared" si="5"/>
        <v>0.22086888331242158</v>
      </c>
      <c r="AE51" s="286" t="str">
        <f t="shared" si="6"/>
        <v>N/A</v>
      </c>
    </row>
    <row r="52" spans="1:31" ht="12.75">
      <c r="A52" t="s">
        <v>104</v>
      </c>
      <c r="B52" s="10">
        <v>41</v>
      </c>
      <c r="C52" s="10" t="s">
        <v>437</v>
      </c>
      <c r="D52" s="10"/>
      <c r="E52" s="10" t="s">
        <v>437</v>
      </c>
      <c r="F52" s="62"/>
      <c r="G52" s="10" t="s">
        <v>437</v>
      </c>
      <c r="H52" s="62"/>
      <c r="I52" s="10" t="s">
        <v>437</v>
      </c>
      <c r="J52" s="62"/>
      <c r="K52" s="10" t="s">
        <v>437</v>
      </c>
      <c r="L52" s="62"/>
      <c r="M52" s="41" t="s">
        <v>410</v>
      </c>
      <c r="N52" s="276">
        <v>1.75</v>
      </c>
      <c r="O52" s="278">
        <v>1.33</v>
      </c>
      <c r="P52" s="162">
        <f t="shared" si="9"/>
        <v>2</v>
      </c>
      <c r="Q52" s="162">
        <f t="shared" si="10"/>
        <v>1</v>
      </c>
      <c r="R52" s="275">
        <v>128.37</v>
      </c>
      <c r="S52" s="275">
        <v>77.13</v>
      </c>
      <c r="T52" s="275">
        <v>22.22</v>
      </c>
      <c r="U52" s="162">
        <f t="shared" si="11"/>
        <v>2</v>
      </c>
      <c r="V52" s="162">
        <f t="shared" si="3"/>
        <v>1</v>
      </c>
      <c r="W52" s="162">
        <f t="shared" si="7"/>
        <v>0</v>
      </c>
      <c r="X52" s="83">
        <f t="shared" si="8"/>
        <v>30</v>
      </c>
      <c r="AC52" s="286">
        <f t="shared" si="4"/>
        <v>1.1274654956085322</v>
      </c>
      <c r="AD52" s="286">
        <f t="shared" si="5"/>
        <v>0.5927493726474278</v>
      </c>
      <c r="AE52" s="286">
        <f t="shared" si="6"/>
        <v>0.1707622333751568</v>
      </c>
    </row>
    <row r="53" spans="1:31" ht="12.75">
      <c r="A53" t="s">
        <v>285</v>
      </c>
      <c r="B53" s="7">
        <v>248</v>
      </c>
      <c r="C53" s="7" t="s">
        <v>466</v>
      </c>
      <c r="D53" s="7"/>
      <c r="E53" s="7" t="s">
        <v>466</v>
      </c>
      <c r="F53" s="62"/>
      <c r="G53" s="7" t="s">
        <v>466</v>
      </c>
      <c r="H53" s="62"/>
      <c r="I53" s="7" t="s">
        <v>466</v>
      </c>
      <c r="J53" s="62"/>
      <c r="K53" s="7" t="s">
        <v>466</v>
      </c>
      <c r="L53" s="62"/>
      <c r="M53" s="41" t="s">
        <v>410</v>
      </c>
      <c r="N53" s="276">
        <v>0.47</v>
      </c>
      <c r="O53" s="278">
        <v>0.35</v>
      </c>
      <c r="P53" s="162">
        <f t="shared" si="9"/>
        <v>0</v>
      </c>
      <c r="Q53" s="162">
        <f t="shared" si="10"/>
        <v>0</v>
      </c>
      <c r="R53" s="275">
        <v>17.2</v>
      </c>
      <c r="S53" s="275">
        <v>14.62</v>
      </c>
      <c r="T53" s="275">
        <v>8.93</v>
      </c>
      <c r="U53" s="162">
        <f t="shared" si="11"/>
        <v>0</v>
      </c>
      <c r="V53" s="162">
        <f t="shared" si="3"/>
        <v>0</v>
      </c>
      <c r="W53" s="162">
        <f t="shared" si="7"/>
        <v>0</v>
      </c>
      <c r="X53" s="83">
        <f t="shared" si="8"/>
        <v>0</v>
      </c>
      <c r="AC53" s="286">
        <f t="shared" si="4"/>
        <v>0.15106649937264743</v>
      </c>
      <c r="AD53" s="286">
        <f t="shared" si="5"/>
        <v>0.11235570890840652</v>
      </c>
      <c r="AE53" s="286">
        <f t="shared" si="6"/>
        <v>0.06862766624843163</v>
      </c>
    </row>
    <row r="54" spans="1:31" ht="12.75">
      <c r="A54" t="s">
        <v>236</v>
      </c>
      <c r="B54" s="10">
        <v>75</v>
      </c>
      <c r="C54" s="10" t="s">
        <v>471</v>
      </c>
      <c r="D54" s="10"/>
      <c r="E54" s="10" t="s">
        <v>471</v>
      </c>
      <c r="F54" s="62"/>
      <c r="G54" s="10" t="s">
        <v>471</v>
      </c>
      <c r="H54" s="62"/>
      <c r="I54" s="10" t="s">
        <v>471</v>
      </c>
      <c r="J54" s="62"/>
      <c r="K54" s="10" t="s">
        <v>471</v>
      </c>
      <c r="L54" s="62"/>
      <c r="M54" s="41" t="s">
        <v>410</v>
      </c>
      <c r="N54" s="276">
        <v>0.86</v>
      </c>
      <c r="O54" s="278">
        <v>0.67</v>
      </c>
      <c r="P54" s="162">
        <f t="shared" si="9"/>
        <v>1</v>
      </c>
      <c r="Q54" s="162">
        <f t="shared" si="10"/>
        <v>0</v>
      </c>
      <c r="R54" s="275">
        <v>22.06</v>
      </c>
      <c r="S54" s="275">
        <v>41.7</v>
      </c>
      <c r="T54" s="275">
        <v>23.31</v>
      </c>
      <c r="U54" s="162">
        <f t="shared" si="11"/>
        <v>0</v>
      </c>
      <c r="V54" s="162">
        <f t="shared" si="3"/>
        <v>0</v>
      </c>
      <c r="W54" s="162">
        <f t="shared" si="7"/>
        <v>0</v>
      </c>
      <c r="X54" s="83">
        <f t="shared" si="8"/>
        <v>30</v>
      </c>
      <c r="AC54" s="286">
        <f t="shared" si="4"/>
        <v>0.19375156838143037</v>
      </c>
      <c r="AD54" s="286">
        <f t="shared" si="5"/>
        <v>0.32046737766624844</v>
      </c>
      <c r="AE54" s="286">
        <f t="shared" si="6"/>
        <v>0.17913895859473022</v>
      </c>
    </row>
    <row r="55" spans="1:31" ht="12.75">
      <c r="A55" t="s">
        <v>288</v>
      </c>
      <c r="B55" s="7">
        <v>238</v>
      </c>
      <c r="C55" s="7" t="s">
        <v>531</v>
      </c>
      <c r="D55" s="7"/>
      <c r="E55" s="7" t="s">
        <v>531</v>
      </c>
      <c r="F55" s="62"/>
      <c r="G55" s="7" t="s">
        <v>531</v>
      </c>
      <c r="H55" s="62"/>
      <c r="I55" s="7" t="s">
        <v>531</v>
      </c>
      <c r="J55" s="62"/>
      <c r="K55" s="7" t="s">
        <v>531</v>
      </c>
      <c r="L55" s="62"/>
      <c r="M55" s="41" t="s">
        <v>410</v>
      </c>
      <c r="N55" s="276">
        <v>0.38</v>
      </c>
      <c r="O55" s="278">
        <v>0.28</v>
      </c>
      <c r="P55" s="162">
        <f t="shared" si="9"/>
        <v>0</v>
      </c>
      <c r="Q55" s="162">
        <f t="shared" si="10"/>
        <v>0</v>
      </c>
      <c r="R55" s="275">
        <v>22.83</v>
      </c>
      <c r="S55" s="275">
        <v>21.06</v>
      </c>
      <c r="T55" s="275">
        <v>4.25</v>
      </c>
      <c r="U55" s="162">
        <f t="shared" si="11"/>
        <v>0</v>
      </c>
      <c r="V55" s="162">
        <f t="shared" si="3"/>
        <v>0</v>
      </c>
      <c r="W55" s="162">
        <f t="shared" si="7"/>
        <v>0</v>
      </c>
      <c r="X55" s="83">
        <f t="shared" si="8"/>
        <v>0</v>
      </c>
      <c r="AC55" s="286">
        <f t="shared" si="4"/>
        <v>0.20051442910915937</v>
      </c>
      <c r="AD55" s="286">
        <f t="shared" si="5"/>
        <v>0.16184755332496864</v>
      </c>
      <c r="AE55" s="286">
        <f t="shared" si="6"/>
        <v>0.03266154328732748</v>
      </c>
    </row>
    <row r="56" spans="1:31" ht="12.75">
      <c r="A56" t="s">
        <v>34</v>
      </c>
      <c r="B56" s="8" t="s">
        <v>37</v>
      </c>
      <c r="C56" s="8" t="s">
        <v>458</v>
      </c>
      <c r="D56" s="8"/>
      <c r="E56" s="8" t="s">
        <v>458</v>
      </c>
      <c r="F56" s="62"/>
      <c r="G56" s="8" t="s">
        <v>458</v>
      </c>
      <c r="H56" s="62"/>
      <c r="I56" s="8" t="s">
        <v>458</v>
      </c>
      <c r="J56" s="62"/>
      <c r="K56" s="8" t="s">
        <v>458</v>
      </c>
      <c r="L56" s="62"/>
      <c r="M56" s="41" t="s">
        <v>410</v>
      </c>
      <c r="N56" s="276">
        <v>0.95</v>
      </c>
      <c r="O56" s="278">
        <v>0.66</v>
      </c>
      <c r="P56" s="162">
        <f t="shared" si="9"/>
        <v>1</v>
      </c>
      <c r="Q56" s="162">
        <f t="shared" si="10"/>
        <v>0</v>
      </c>
      <c r="R56" s="275">
        <v>167.03</v>
      </c>
      <c r="S56" s="275">
        <v>108.48</v>
      </c>
      <c r="T56" s="275">
        <v>26.22</v>
      </c>
      <c r="U56" s="162">
        <f t="shared" si="11"/>
        <v>2</v>
      </c>
      <c r="V56" s="162">
        <f t="shared" si="3"/>
        <v>1</v>
      </c>
      <c r="W56" s="162">
        <f t="shared" si="7"/>
        <v>0</v>
      </c>
      <c r="X56" s="83">
        <f t="shared" si="8"/>
        <v>30</v>
      </c>
      <c r="AC56" s="286">
        <f t="shared" si="4"/>
        <v>1.4670138017565875</v>
      </c>
      <c r="AD56" s="286">
        <f t="shared" si="5"/>
        <v>0.8336762860727729</v>
      </c>
      <c r="AE56" s="286">
        <f t="shared" si="6"/>
        <v>0.20150250941028858</v>
      </c>
    </row>
    <row r="57" spans="1:31" ht="12.75">
      <c r="A57" t="s">
        <v>238</v>
      </c>
      <c r="B57" s="7">
        <v>930</v>
      </c>
      <c r="C57" s="158" t="s">
        <v>575</v>
      </c>
      <c r="D57" s="7"/>
      <c r="E57" s="158" t="s">
        <v>575</v>
      </c>
      <c r="F57" s="62"/>
      <c r="G57" s="158" t="s">
        <v>575</v>
      </c>
      <c r="H57" s="62"/>
      <c r="I57" s="158" t="s">
        <v>575</v>
      </c>
      <c r="J57" s="62"/>
      <c r="K57" s="158" t="s">
        <v>575</v>
      </c>
      <c r="L57" s="62"/>
      <c r="M57" s="41" t="s">
        <v>410</v>
      </c>
      <c r="N57" s="276">
        <v>0.4</v>
      </c>
      <c r="O57" s="277">
        <v>0.36</v>
      </c>
      <c r="P57" s="162">
        <f t="shared" si="9"/>
        <v>0</v>
      </c>
      <c r="Q57" s="162">
        <f t="shared" si="10"/>
        <v>0</v>
      </c>
      <c r="R57" s="275">
        <v>9.67</v>
      </c>
      <c r="S57" s="276" t="s">
        <v>579</v>
      </c>
      <c r="T57" s="276" t="s">
        <v>579</v>
      </c>
      <c r="U57" s="162">
        <f t="shared" si="11"/>
        <v>0</v>
      </c>
      <c r="V57" s="162" t="str">
        <f t="shared" si="3"/>
        <v>N/A</v>
      </c>
      <c r="W57" s="162" t="str">
        <f t="shared" si="7"/>
        <v>N/A</v>
      </c>
      <c r="X57" s="83" t="str">
        <f t="shared" si="8"/>
        <v>N/A</v>
      </c>
      <c r="AC57" s="286">
        <f t="shared" si="4"/>
        <v>0.084930991217064</v>
      </c>
      <c r="AD57" s="286" t="str">
        <f t="shared" si="5"/>
        <v>N/A</v>
      </c>
      <c r="AE57" s="286" t="str">
        <f t="shared" si="6"/>
        <v>N/A</v>
      </c>
    </row>
    <row r="58" spans="1:31" ht="12.75">
      <c r="A58" t="s">
        <v>134</v>
      </c>
      <c r="B58" s="8" t="s">
        <v>137</v>
      </c>
      <c r="C58" s="8" t="s">
        <v>453</v>
      </c>
      <c r="D58" s="8"/>
      <c r="E58" s="8" t="s">
        <v>453</v>
      </c>
      <c r="F58" s="62"/>
      <c r="G58" s="8" t="s">
        <v>453</v>
      </c>
      <c r="H58" s="62"/>
      <c r="I58" s="8" t="s">
        <v>453</v>
      </c>
      <c r="J58" s="62"/>
      <c r="K58" s="8" t="s">
        <v>453</v>
      </c>
      <c r="L58" s="62"/>
      <c r="M58" s="41" t="s">
        <v>410</v>
      </c>
      <c r="N58" s="276">
        <v>1.96</v>
      </c>
      <c r="O58" s="278">
        <v>0.98</v>
      </c>
      <c r="P58" s="162">
        <f t="shared" si="9"/>
        <v>2</v>
      </c>
      <c r="Q58" s="162">
        <f t="shared" si="10"/>
        <v>1</v>
      </c>
      <c r="R58" s="275">
        <v>141.53</v>
      </c>
      <c r="S58" s="275">
        <v>93.96</v>
      </c>
      <c r="T58" s="275">
        <v>52.39</v>
      </c>
      <c r="U58" s="162">
        <f t="shared" si="11"/>
        <v>2</v>
      </c>
      <c r="V58" s="162">
        <f t="shared" si="3"/>
        <v>1</v>
      </c>
      <c r="W58" s="162">
        <f t="shared" si="7"/>
        <v>1</v>
      </c>
      <c r="X58" s="83">
        <f t="shared" si="8"/>
        <v>30</v>
      </c>
      <c r="AC58" s="286">
        <f t="shared" si="4"/>
        <v>1.2430489335006276</v>
      </c>
      <c r="AD58" s="286">
        <f t="shared" si="5"/>
        <v>0.7220890840652446</v>
      </c>
      <c r="AE58" s="286">
        <f t="shared" si="6"/>
        <v>0.402620765370138</v>
      </c>
    </row>
    <row r="59" spans="1:31" ht="12.75">
      <c r="A59" t="s">
        <v>291</v>
      </c>
      <c r="B59" s="7">
        <v>236</v>
      </c>
      <c r="C59" s="7" t="s">
        <v>530</v>
      </c>
      <c r="D59" s="7"/>
      <c r="E59" s="7" t="s">
        <v>530</v>
      </c>
      <c r="F59" s="62"/>
      <c r="G59" s="7" t="s">
        <v>530</v>
      </c>
      <c r="H59" s="62"/>
      <c r="I59" s="7" t="s">
        <v>530</v>
      </c>
      <c r="J59" s="62"/>
      <c r="K59" s="7" t="s">
        <v>530</v>
      </c>
      <c r="L59" s="62"/>
      <c r="M59" s="41" t="s">
        <v>410</v>
      </c>
      <c r="N59" s="276">
        <v>0.62</v>
      </c>
      <c r="O59" s="278">
        <v>0.19</v>
      </c>
      <c r="P59" s="162">
        <f t="shared" si="9"/>
        <v>0</v>
      </c>
      <c r="Q59" s="162">
        <f t="shared" si="10"/>
        <v>0</v>
      </c>
      <c r="R59" s="275">
        <v>17.82</v>
      </c>
      <c r="S59" s="275">
        <v>16.4</v>
      </c>
      <c r="T59" s="275">
        <v>3.43</v>
      </c>
      <c r="U59" s="162">
        <f t="shared" si="11"/>
        <v>0</v>
      </c>
      <c r="V59" s="162">
        <f t="shared" si="3"/>
        <v>0</v>
      </c>
      <c r="W59" s="162">
        <f t="shared" si="7"/>
        <v>0</v>
      </c>
      <c r="X59" s="83">
        <f t="shared" si="8"/>
        <v>0</v>
      </c>
      <c r="AC59" s="286">
        <f t="shared" si="4"/>
        <v>0.15651191969887077</v>
      </c>
      <c r="AD59" s="286">
        <f t="shared" si="5"/>
        <v>0.12603513174404016</v>
      </c>
      <c r="AE59" s="286">
        <f t="shared" si="6"/>
        <v>0.02635978670012547</v>
      </c>
    </row>
    <row r="60" spans="1:31" ht="12.75">
      <c r="A60" t="s">
        <v>138</v>
      </c>
      <c r="B60" s="10">
        <v>67</v>
      </c>
      <c r="C60" s="10" t="s">
        <v>496</v>
      </c>
      <c r="D60" s="10"/>
      <c r="E60" s="10" t="s">
        <v>496</v>
      </c>
      <c r="F60" s="62"/>
      <c r="G60" s="10" t="s">
        <v>496</v>
      </c>
      <c r="H60" s="62"/>
      <c r="I60" s="10" t="s">
        <v>496</v>
      </c>
      <c r="J60" s="62"/>
      <c r="K60" s="10" t="s">
        <v>496</v>
      </c>
      <c r="L60" s="62"/>
      <c r="M60" s="41" t="s">
        <v>410</v>
      </c>
      <c r="N60" s="276">
        <v>1.16</v>
      </c>
      <c r="O60" s="278">
        <v>0.81</v>
      </c>
      <c r="P60" s="162">
        <f t="shared" si="9"/>
        <v>1</v>
      </c>
      <c r="Q60" s="162">
        <f t="shared" si="10"/>
        <v>1</v>
      </c>
      <c r="R60" s="275">
        <v>91.86</v>
      </c>
      <c r="S60" s="275">
        <v>111.69</v>
      </c>
      <c r="T60" s="275">
        <v>33.31</v>
      </c>
      <c r="U60" s="162">
        <f t="shared" si="11"/>
        <v>1</v>
      </c>
      <c r="V60" s="162">
        <f t="shared" si="3"/>
        <v>1</v>
      </c>
      <c r="W60" s="162">
        <f t="shared" si="7"/>
        <v>0</v>
      </c>
      <c r="X60" s="83">
        <f t="shared" si="8"/>
        <v>30</v>
      </c>
      <c r="AC60" s="286">
        <f t="shared" si="4"/>
        <v>0.8068005018820578</v>
      </c>
      <c r="AD60" s="286">
        <f t="shared" si="5"/>
        <v>0.8583453575909661</v>
      </c>
      <c r="AE60" s="286">
        <f t="shared" si="6"/>
        <v>0.2559896486825596</v>
      </c>
    </row>
    <row r="61" spans="1:31" ht="12.75">
      <c r="A61" t="s">
        <v>241</v>
      </c>
      <c r="B61" s="6">
        <v>187</v>
      </c>
      <c r="C61" s="157" t="s">
        <v>367</v>
      </c>
      <c r="D61" s="62"/>
      <c r="E61" s="157" t="s">
        <v>367</v>
      </c>
      <c r="F61" s="62"/>
      <c r="G61" s="157" t="s">
        <v>367</v>
      </c>
      <c r="H61" s="62"/>
      <c r="I61" s="157" t="s">
        <v>367</v>
      </c>
      <c r="J61" s="62"/>
      <c r="K61" s="157" t="s">
        <v>367</v>
      </c>
      <c r="L61" s="62"/>
      <c r="M61" s="41" t="s">
        <v>410</v>
      </c>
      <c r="N61" s="276">
        <v>0.83</v>
      </c>
      <c r="O61" s="278">
        <v>0.32</v>
      </c>
      <c r="P61" s="162">
        <f t="shared" si="9"/>
        <v>1</v>
      </c>
      <c r="Q61" s="162">
        <f t="shared" si="10"/>
        <v>0</v>
      </c>
      <c r="R61" s="275">
        <v>63.51</v>
      </c>
      <c r="S61" s="275">
        <v>33.42</v>
      </c>
      <c r="T61" s="275">
        <v>16.5</v>
      </c>
      <c r="U61" s="162">
        <f t="shared" si="11"/>
        <v>1</v>
      </c>
      <c r="V61" s="162">
        <f t="shared" si="3"/>
        <v>0</v>
      </c>
      <c r="W61" s="162">
        <f t="shared" si="7"/>
        <v>0</v>
      </c>
      <c r="X61" s="83">
        <f t="shared" si="8"/>
        <v>60</v>
      </c>
      <c r="AC61" s="286">
        <f t="shared" si="4"/>
        <v>0.5578042659974907</v>
      </c>
      <c r="AD61" s="286">
        <f t="shared" si="5"/>
        <v>0.25683500627352573</v>
      </c>
      <c r="AE61" s="286">
        <f t="shared" si="6"/>
        <v>0.12680363864491842</v>
      </c>
    </row>
    <row r="62" spans="1:31" ht="12.75">
      <c r="A62" t="s">
        <v>72</v>
      </c>
      <c r="B62" s="10">
        <v>13</v>
      </c>
      <c r="C62" s="157" t="s">
        <v>481</v>
      </c>
      <c r="D62" s="62"/>
      <c r="E62" s="157" t="s">
        <v>481</v>
      </c>
      <c r="F62" s="62"/>
      <c r="G62" s="157" t="s">
        <v>481</v>
      </c>
      <c r="H62" s="62"/>
      <c r="I62" s="157" t="s">
        <v>481</v>
      </c>
      <c r="J62" s="62"/>
      <c r="K62" s="157" t="s">
        <v>481</v>
      </c>
      <c r="L62" s="62"/>
      <c r="M62" s="41" t="s">
        <v>410</v>
      </c>
      <c r="N62" s="276">
        <v>0.72</v>
      </c>
      <c r="O62" s="278">
        <v>1.38</v>
      </c>
      <c r="P62" s="162">
        <f t="shared" si="9"/>
        <v>0</v>
      </c>
      <c r="Q62" s="162">
        <f t="shared" si="10"/>
        <v>1</v>
      </c>
      <c r="R62" s="275">
        <v>87.72</v>
      </c>
      <c r="S62" s="275">
        <v>132.09</v>
      </c>
      <c r="T62" s="275">
        <v>50.4</v>
      </c>
      <c r="U62" s="162">
        <f t="shared" si="11"/>
        <v>1</v>
      </c>
      <c r="V62" s="162">
        <f t="shared" si="3"/>
        <v>2</v>
      </c>
      <c r="W62" s="162">
        <f t="shared" si="7"/>
        <v>1</v>
      </c>
      <c r="X62" s="83">
        <f t="shared" si="8"/>
        <v>30</v>
      </c>
      <c r="AC62" s="286">
        <f t="shared" si="4"/>
        <v>0.770439146800502</v>
      </c>
      <c r="AD62" s="286">
        <f t="shared" si="5"/>
        <v>1.0151207653701382</v>
      </c>
      <c r="AE62" s="286">
        <f t="shared" si="6"/>
        <v>0.38732747804265993</v>
      </c>
    </row>
    <row r="63" spans="1:31" ht="12.75">
      <c r="A63" t="s">
        <v>243</v>
      </c>
      <c r="B63" s="6">
        <v>901</v>
      </c>
      <c r="C63" s="157" t="s">
        <v>368</v>
      </c>
      <c r="D63" s="62"/>
      <c r="E63" s="157" t="s">
        <v>368</v>
      </c>
      <c r="F63" s="62"/>
      <c r="G63" s="157" t="s">
        <v>368</v>
      </c>
      <c r="H63" s="62"/>
      <c r="I63" s="157" t="s">
        <v>368</v>
      </c>
      <c r="J63" s="62"/>
      <c r="K63" s="157" t="s">
        <v>368</v>
      </c>
      <c r="L63" s="62"/>
      <c r="M63" s="41" t="s">
        <v>410</v>
      </c>
      <c r="N63" s="276">
        <v>0.59</v>
      </c>
      <c r="O63" s="278">
        <v>0.38</v>
      </c>
      <c r="P63" s="162">
        <f t="shared" si="9"/>
        <v>0</v>
      </c>
      <c r="Q63" s="162">
        <f t="shared" si="10"/>
        <v>0</v>
      </c>
      <c r="R63" s="275">
        <v>20.76</v>
      </c>
      <c r="S63" s="275">
        <v>19.48</v>
      </c>
      <c r="T63" s="275">
        <v>16.02</v>
      </c>
      <c r="U63" s="162">
        <f t="shared" si="11"/>
        <v>0</v>
      </c>
      <c r="V63" s="162">
        <f t="shared" si="3"/>
        <v>0</v>
      </c>
      <c r="W63" s="162">
        <f t="shared" si="7"/>
        <v>0</v>
      </c>
      <c r="X63" s="83">
        <f t="shared" si="8"/>
        <v>60</v>
      </c>
      <c r="AC63" s="286">
        <f t="shared" si="4"/>
        <v>0.18233375156838147</v>
      </c>
      <c r="AD63" s="286">
        <f t="shared" si="5"/>
        <v>0.14970514429109158</v>
      </c>
      <c r="AE63" s="286">
        <f t="shared" si="6"/>
        <v>0.12311480552070263</v>
      </c>
    </row>
    <row r="64" spans="1:31" ht="12.75">
      <c r="A64" t="s">
        <v>75</v>
      </c>
      <c r="B64" s="8" t="s">
        <v>77</v>
      </c>
      <c r="C64" s="157" t="s">
        <v>445</v>
      </c>
      <c r="D64" s="62"/>
      <c r="E64" s="157" t="s">
        <v>445</v>
      </c>
      <c r="F64" s="62"/>
      <c r="G64" s="157" t="s">
        <v>445</v>
      </c>
      <c r="H64" s="62"/>
      <c r="I64" s="157" t="s">
        <v>445</v>
      </c>
      <c r="J64" s="62"/>
      <c r="K64" s="157" t="s">
        <v>445</v>
      </c>
      <c r="L64" s="62"/>
      <c r="M64" s="41" t="s">
        <v>410</v>
      </c>
      <c r="N64" s="276">
        <v>1.17</v>
      </c>
      <c r="O64" s="278">
        <v>0.59</v>
      </c>
      <c r="P64" s="162">
        <f t="shared" si="9"/>
        <v>1</v>
      </c>
      <c r="Q64" s="162">
        <f t="shared" si="10"/>
        <v>0</v>
      </c>
      <c r="R64" s="275">
        <v>105.9</v>
      </c>
      <c r="S64" s="275">
        <v>139.56</v>
      </c>
      <c r="T64" s="275">
        <v>72.59</v>
      </c>
      <c r="U64" s="162">
        <f t="shared" si="11"/>
        <v>1</v>
      </c>
      <c r="V64" s="162">
        <f t="shared" si="3"/>
        <v>2</v>
      </c>
      <c r="W64" s="162">
        <f t="shared" si="7"/>
        <v>1</v>
      </c>
      <c r="X64" s="83">
        <f t="shared" si="8"/>
        <v>30</v>
      </c>
      <c r="AC64" s="286">
        <f t="shared" si="4"/>
        <v>0.9301129234629864</v>
      </c>
      <c r="AD64" s="286">
        <f t="shared" si="5"/>
        <v>1.0725282308657467</v>
      </c>
      <c r="AE64" s="286">
        <f t="shared" si="6"/>
        <v>0.5578591593475534</v>
      </c>
    </row>
    <row r="65" spans="1:31" ht="12.75">
      <c r="A65" t="s">
        <v>184</v>
      </c>
      <c r="B65" s="6">
        <v>183</v>
      </c>
      <c r="C65" s="157" t="s">
        <v>369</v>
      </c>
      <c r="D65" s="62"/>
      <c r="E65" s="157" t="s">
        <v>369</v>
      </c>
      <c r="F65" s="62"/>
      <c r="G65" s="157" t="s">
        <v>369</v>
      </c>
      <c r="H65" s="62"/>
      <c r="I65" s="157" t="s">
        <v>369</v>
      </c>
      <c r="J65" s="62"/>
      <c r="K65" s="157" t="s">
        <v>369</v>
      </c>
      <c r="L65" s="62"/>
      <c r="M65" s="41" t="s">
        <v>410</v>
      </c>
      <c r="N65" s="276">
        <v>0.26</v>
      </c>
      <c r="O65" s="278">
        <v>0.48</v>
      </c>
      <c r="P65" s="162">
        <f t="shared" si="9"/>
        <v>0</v>
      </c>
      <c r="Q65" s="162">
        <f t="shared" si="10"/>
        <v>0</v>
      </c>
      <c r="R65" s="275">
        <v>11.94</v>
      </c>
      <c r="S65" s="275">
        <v>11.54</v>
      </c>
      <c r="T65" s="276" t="s">
        <v>579</v>
      </c>
      <c r="U65" s="162">
        <f t="shared" si="11"/>
        <v>0</v>
      </c>
      <c r="V65" s="162">
        <f t="shared" si="3"/>
        <v>0</v>
      </c>
      <c r="W65" s="162" t="str">
        <f t="shared" si="7"/>
        <v>N/A</v>
      </c>
      <c r="X65" s="83" t="str">
        <f t="shared" si="8"/>
        <v>N/A</v>
      </c>
      <c r="AC65" s="286">
        <f t="shared" si="4"/>
        <v>0.10486825595984946</v>
      </c>
      <c r="AD65" s="286">
        <f t="shared" si="5"/>
        <v>0.08868569636135508</v>
      </c>
      <c r="AE65" s="286" t="str">
        <f t="shared" si="6"/>
        <v>N/A</v>
      </c>
    </row>
    <row r="66" spans="1:31" ht="12.75">
      <c r="A66" t="s">
        <v>62</v>
      </c>
      <c r="B66" s="8" t="s">
        <v>64</v>
      </c>
      <c r="C66" s="161" t="s">
        <v>460</v>
      </c>
      <c r="D66" s="62"/>
      <c r="E66" s="161" t="s">
        <v>460</v>
      </c>
      <c r="F66" s="62"/>
      <c r="G66" s="161" t="s">
        <v>460</v>
      </c>
      <c r="H66" s="62"/>
      <c r="I66" s="161" t="s">
        <v>460</v>
      </c>
      <c r="J66" s="62"/>
      <c r="K66" s="157" t="s">
        <v>554</v>
      </c>
      <c r="L66" s="62"/>
      <c r="M66" s="41" t="s">
        <v>410</v>
      </c>
      <c r="N66" s="276">
        <v>1.04</v>
      </c>
      <c r="O66" s="278">
        <v>2.07</v>
      </c>
      <c r="P66" s="162">
        <f t="shared" si="9"/>
        <v>1</v>
      </c>
      <c r="Q66" s="162">
        <f t="shared" si="10"/>
        <v>2</v>
      </c>
      <c r="R66" s="275">
        <v>65.63</v>
      </c>
      <c r="S66" s="275">
        <v>162.54</v>
      </c>
      <c r="T66" s="275">
        <v>82.03</v>
      </c>
      <c r="U66" s="162">
        <f t="shared" si="11"/>
        <v>1</v>
      </c>
      <c r="V66" s="162">
        <f t="shared" si="3"/>
        <v>2</v>
      </c>
      <c r="W66" s="162">
        <f t="shared" si="7"/>
        <v>1</v>
      </c>
      <c r="X66" s="83">
        <f t="shared" si="8"/>
        <v>30</v>
      </c>
      <c r="AC66" s="286">
        <f t="shared" si="4"/>
        <v>0.5764240903387704</v>
      </c>
      <c r="AD66" s="286">
        <f t="shared" si="5"/>
        <v>1.2491311166875785</v>
      </c>
      <c r="AE66" s="286">
        <f t="shared" si="6"/>
        <v>0.6304062107904642</v>
      </c>
    </row>
    <row r="67" spans="1:31" ht="12.75">
      <c r="A67" t="s">
        <v>246</v>
      </c>
      <c r="B67" s="6">
        <v>153</v>
      </c>
      <c r="C67" s="157" t="s">
        <v>370</v>
      </c>
      <c r="D67" s="62"/>
      <c r="E67" s="157" t="s">
        <v>370</v>
      </c>
      <c r="F67" s="62"/>
      <c r="G67" s="157" t="s">
        <v>370</v>
      </c>
      <c r="H67" s="62"/>
      <c r="I67" s="157" t="s">
        <v>370</v>
      </c>
      <c r="J67" s="62"/>
      <c r="K67" s="157" t="s">
        <v>370</v>
      </c>
      <c r="L67" s="62"/>
      <c r="M67" s="41" t="s">
        <v>410</v>
      </c>
      <c r="N67" s="276">
        <v>0.53</v>
      </c>
      <c r="O67" s="278">
        <v>0.24</v>
      </c>
      <c r="P67" s="162">
        <f t="shared" si="9"/>
        <v>0</v>
      </c>
      <c r="Q67" s="162">
        <f t="shared" si="10"/>
        <v>0</v>
      </c>
      <c r="R67" s="275">
        <v>25.38</v>
      </c>
      <c r="S67" s="275">
        <v>6.83</v>
      </c>
      <c r="T67" s="276" t="s">
        <v>579</v>
      </c>
      <c r="U67" s="162">
        <f t="shared" si="11"/>
        <v>0</v>
      </c>
      <c r="V67" s="162">
        <f t="shared" si="3"/>
        <v>0</v>
      </c>
      <c r="W67" s="162" t="str">
        <f t="shared" si="7"/>
        <v>N/A</v>
      </c>
      <c r="X67" s="83" t="str">
        <f t="shared" si="8"/>
        <v>N/A</v>
      </c>
      <c r="AC67" s="286">
        <f t="shared" si="4"/>
        <v>0.22291091593475537</v>
      </c>
      <c r="AD67" s="286">
        <f t="shared" si="5"/>
        <v>0.05248902132998745</v>
      </c>
      <c r="AE67" s="286" t="str">
        <f t="shared" si="6"/>
        <v>N/A</v>
      </c>
    </row>
    <row r="68" spans="1:31" ht="12.75">
      <c r="A68" t="s">
        <v>107</v>
      </c>
      <c r="B68" s="10">
        <v>181</v>
      </c>
      <c r="C68" s="157" t="s">
        <v>535</v>
      </c>
      <c r="D68" s="62"/>
      <c r="E68" s="157" t="s">
        <v>535</v>
      </c>
      <c r="F68" s="62"/>
      <c r="G68" s="157" t="s">
        <v>535</v>
      </c>
      <c r="H68" s="62"/>
      <c r="I68" s="157" t="s">
        <v>535</v>
      </c>
      <c r="J68" s="62"/>
      <c r="K68" s="157" t="s">
        <v>535</v>
      </c>
      <c r="L68" s="62"/>
      <c r="M68" s="41" t="s">
        <v>410</v>
      </c>
      <c r="N68" s="276">
        <v>0.51</v>
      </c>
      <c r="O68" s="278">
        <v>0.52</v>
      </c>
      <c r="P68" s="162">
        <f t="shared" si="9"/>
        <v>0</v>
      </c>
      <c r="Q68" s="162">
        <f t="shared" si="10"/>
        <v>0</v>
      </c>
      <c r="R68" s="275">
        <v>30.78</v>
      </c>
      <c r="S68" s="275">
        <v>28.47</v>
      </c>
      <c r="T68" s="275">
        <v>16.43</v>
      </c>
      <c r="U68" s="162">
        <f t="shared" si="11"/>
        <v>0</v>
      </c>
      <c r="V68" s="162">
        <f t="shared" si="3"/>
        <v>0</v>
      </c>
      <c r="W68" s="162">
        <f t="shared" si="7"/>
        <v>0</v>
      </c>
      <c r="X68" s="83">
        <f t="shared" si="8"/>
        <v>60</v>
      </c>
      <c r="AC68" s="286">
        <f t="shared" si="4"/>
        <v>0.27033877038895865</v>
      </c>
      <c r="AD68" s="286">
        <f t="shared" si="5"/>
        <v>0.21879391468005016</v>
      </c>
      <c r="AE68" s="286">
        <f t="shared" si="6"/>
        <v>0.12626568381430364</v>
      </c>
    </row>
    <row r="69" spans="1:31" ht="12.75">
      <c r="A69" t="s">
        <v>192</v>
      </c>
      <c r="B69" s="7">
        <v>347</v>
      </c>
      <c r="C69" s="157" t="s">
        <v>517</v>
      </c>
      <c r="D69" s="62"/>
      <c r="E69" s="157" t="s">
        <v>517</v>
      </c>
      <c r="F69" s="62"/>
      <c r="G69" s="157" t="s">
        <v>517</v>
      </c>
      <c r="H69" s="62"/>
      <c r="I69" s="157" t="s">
        <v>517</v>
      </c>
      <c r="J69" s="62"/>
      <c r="K69" s="157" t="s">
        <v>517</v>
      </c>
      <c r="L69" s="62"/>
      <c r="M69" s="41" t="s">
        <v>414</v>
      </c>
      <c r="N69" s="276">
        <v>1.28</v>
      </c>
      <c r="O69" s="278">
        <v>0.85</v>
      </c>
      <c r="P69" s="162">
        <f t="shared" si="9"/>
        <v>1</v>
      </c>
      <c r="Q69" s="162">
        <f t="shared" si="10"/>
        <v>1</v>
      </c>
      <c r="R69" s="275">
        <v>63.68</v>
      </c>
      <c r="S69" s="275">
        <v>55.78</v>
      </c>
      <c r="T69" s="275">
        <v>19.08</v>
      </c>
      <c r="U69" s="162">
        <f aca="true" t="shared" si="12" ref="U69:U100">IF(M69="One-Zone",IF(R69&gt;$W$125,$X$125,IF(R69&gt;$W$127,$X$127,0)),IF(R69&gt;$W$126,$X$126,IF(R69&gt;$W$128,$X$128,0)))</f>
        <v>1</v>
      </c>
      <c r="V69" s="162">
        <f aca="true" t="shared" si="13" ref="V69:V98">IF(S69="N/A","N/A",IF(S69&gt;=$W$129,$X$129,IF(S69&gt;=$W$130,$X$130,0)))</f>
        <v>0</v>
      </c>
      <c r="W69" s="162">
        <f t="shared" si="7"/>
        <v>0</v>
      </c>
      <c r="X69" s="83">
        <f t="shared" si="8"/>
        <v>60</v>
      </c>
      <c r="AC69" s="286">
        <f aca="true" t="shared" si="14" ref="AC69:AC74">IF(R69="N/A","N/A",IF(M69="One-Zone",R69*$U$125/$T$122,IF(M69="Two-Zone",R69*$U$126/$T$122,R69*$U$125/$T$122)))</f>
        <v>0.6491844416562108</v>
      </c>
      <c r="AD69" s="286">
        <f aca="true" t="shared" si="15" ref="AD69:AD116">IF(S69="N/A","N/A",S69*$U$129/$T$122)</f>
        <v>0.4286731493099122</v>
      </c>
      <c r="AE69" s="286">
        <f aca="true" t="shared" si="16" ref="AE69:AE116">IF(T69="N/A","N/A",T69*$U$131/$T$122)</f>
        <v>0.14663111668757842</v>
      </c>
    </row>
    <row r="70" spans="1:31" ht="12.75">
      <c r="A70" t="s">
        <v>38</v>
      </c>
      <c r="B70" s="10">
        <v>8</v>
      </c>
      <c r="C70" s="157" t="s">
        <v>511</v>
      </c>
      <c r="D70" s="62"/>
      <c r="E70" s="157" t="s">
        <v>511</v>
      </c>
      <c r="F70" s="62"/>
      <c r="G70" s="157" t="s">
        <v>511</v>
      </c>
      <c r="H70" s="62"/>
      <c r="I70" s="157" t="s">
        <v>511</v>
      </c>
      <c r="J70" s="62"/>
      <c r="K70" s="157" t="s">
        <v>511</v>
      </c>
      <c r="L70" s="62"/>
      <c r="M70" s="41" t="s">
        <v>410</v>
      </c>
      <c r="N70" s="276">
        <v>0.49</v>
      </c>
      <c r="O70" s="278">
        <v>0.72</v>
      </c>
      <c r="P70" s="162">
        <f t="shared" si="9"/>
        <v>0</v>
      </c>
      <c r="Q70" s="162">
        <f t="shared" si="10"/>
        <v>0</v>
      </c>
      <c r="R70" s="275">
        <v>43.76</v>
      </c>
      <c r="S70" s="275">
        <v>86.48</v>
      </c>
      <c r="T70" s="275">
        <v>20.02</v>
      </c>
      <c r="U70" s="162">
        <f t="shared" si="12"/>
        <v>0</v>
      </c>
      <c r="V70" s="162">
        <f t="shared" si="13"/>
        <v>1</v>
      </c>
      <c r="W70" s="162">
        <f aca="true" t="shared" si="17" ref="W70:W117">IF(T70="N/A","N/A",IF(T70&gt;=$W$131,$X$131,IF(T70&gt;=$W$132,$X$132,0)))</f>
        <v>0</v>
      </c>
      <c r="X70" s="83">
        <f aca="true" t="shared" si="18" ref="X70:X117">IF(T70="N/A","N/A",IF(T70&gt;=$W$133,$X$133,IF(T70&gt;=$W$134,$X$134,0)))</f>
        <v>60</v>
      </c>
      <c r="AC70" s="286">
        <f t="shared" si="14"/>
        <v>0.3843412797992472</v>
      </c>
      <c r="AD70" s="286">
        <f t="shared" si="15"/>
        <v>0.6646047678795484</v>
      </c>
      <c r="AE70" s="286">
        <f t="shared" si="16"/>
        <v>0.15385508155583438</v>
      </c>
    </row>
    <row r="71" spans="1:31" ht="12.75">
      <c r="A71" t="s">
        <v>293</v>
      </c>
      <c r="B71" s="6">
        <v>149</v>
      </c>
      <c r="C71" s="157" t="s">
        <v>371</v>
      </c>
      <c r="D71" s="62"/>
      <c r="E71" s="157" t="s">
        <v>371</v>
      </c>
      <c r="F71" s="62"/>
      <c r="G71" s="157" t="s">
        <v>371</v>
      </c>
      <c r="H71" s="62"/>
      <c r="I71" s="157" t="s">
        <v>371</v>
      </c>
      <c r="J71" s="62"/>
      <c r="K71" s="157" t="s">
        <v>371</v>
      </c>
      <c r="L71" s="62"/>
      <c r="M71" s="41" t="s">
        <v>410</v>
      </c>
      <c r="N71" s="276">
        <v>0.3</v>
      </c>
      <c r="O71" s="278">
        <v>0.19</v>
      </c>
      <c r="P71" s="162">
        <f t="shared" si="9"/>
        <v>0</v>
      </c>
      <c r="Q71" s="162">
        <f t="shared" si="10"/>
        <v>0</v>
      </c>
      <c r="R71" s="275">
        <v>4.13</v>
      </c>
      <c r="S71" s="275">
        <v>11.04</v>
      </c>
      <c r="T71" s="276" t="s">
        <v>579</v>
      </c>
      <c r="U71" s="162">
        <f t="shared" si="12"/>
        <v>0</v>
      </c>
      <c r="V71" s="162">
        <f t="shared" si="13"/>
        <v>0</v>
      </c>
      <c r="W71" s="162" t="str">
        <f t="shared" si="17"/>
        <v>N/A</v>
      </c>
      <c r="X71" s="83" t="str">
        <f t="shared" si="18"/>
        <v>N/A</v>
      </c>
      <c r="AC71" s="286">
        <f t="shared" si="14"/>
        <v>0.03627352572145546</v>
      </c>
      <c r="AD71" s="286">
        <f t="shared" si="15"/>
        <v>0.08484316185696361</v>
      </c>
      <c r="AE71" s="286" t="str">
        <f t="shared" si="16"/>
        <v>N/A</v>
      </c>
    </row>
    <row r="72" spans="1:31" ht="12.75">
      <c r="A72" t="s">
        <v>295</v>
      </c>
      <c r="B72" s="10">
        <v>221</v>
      </c>
      <c r="C72" s="157" t="s">
        <v>502</v>
      </c>
      <c r="D72" s="62"/>
      <c r="E72" s="157" t="s">
        <v>502</v>
      </c>
      <c r="F72" s="62"/>
      <c r="G72" s="157" t="s">
        <v>502</v>
      </c>
      <c r="H72" s="62"/>
      <c r="I72" s="157" t="s">
        <v>502</v>
      </c>
      <c r="J72" s="62"/>
      <c r="K72" s="157" t="s">
        <v>502</v>
      </c>
      <c r="L72" s="62"/>
      <c r="M72" s="41" t="s">
        <v>410</v>
      </c>
      <c r="N72" s="276">
        <v>0.67</v>
      </c>
      <c r="O72" s="278">
        <v>0.38</v>
      </c>
      <c r="P72" s="162">
        <f t="shared" si="9"/>
        <v>0</v>
      </c>
      <c r="Q72" s="162">
        <f t="shared" si="10"/>
        <v>0</v>
      </c>
      <c r="R72" s="275">
        <v>30.79</v>
      </c>
      <c r="S72" s="275">
        <v>27.04</v>
      </c>
      <c r="T72" s="275">
        <v>9.01</v>
      </c>
      <c r="U72" s="162">
        <f t="shared" si="12"/>
        <v>0</v>
      </c>
      <c r="V72" s="162">
        <f t="shared" si="13"/>
        <v>0</v>
      </c>
      <c r="W72" s="162">
        <f t="shared" si="17"/>
        <v>0</v>
      </c>
      <c r="X72" s="83">
        <f t="shared" si="18"/>
        <v>0</v>
      </c>
      <c r="AC72" s="286">
        <f t="shared" si="14"/>
        <v>0.27042659974905897</v>
      </c>
      <c r="AD72" s="286">
        <f t="shared" si="15"/>
        <v>0.20780426599749058</v>
      </c>
      <c r="AE72" s="286">
        <f t="shared" si="16"/>
        <v>0.06924247176913424</v>
      </c>
    </row>
    <row r="73" spans="1:31" ht="12.75">
      <c r="A73" t="s">
        <v>110</v>
      </c>
      <c r="B73" s="8" t="s">
        <v>112</v>
      </c>
      <c r="C73" s="157" t="s">
        <v>542</v>
      </c>
      <c r="D73" s="62"/>
      <c r="E73" s="157" t="s">
        <v>542</v>
      </c>
      <c r="F73" s="62"/>
      <c r="G73" s="157" t="s">
        <v>542</v>
      </c>
      <c r="H73" s="62"/>
      <c r="I73" s="157" t="s">
        <v>542</v>
      </c>
      <c r="J73" s="62"/>
      <c r="K73" s="157" t="s">
        <v>542</v>
      </c>
      <c r="L73" s="62"/>
      <c r="M73" s="41" t="s">
        <v>410</v>
      </c>
      <c r="N73" s="276">
        <v>0.45</v>
      </c>
      <c r="O73" s="278">
        <v>0.7</v>
      </c>
      <c r="P73" s="162">
        <f t="shared" si="9"/>
        <v>0</v>
      </c>
      <c r="Q73" s="162">
        <f t="shared" si="10"/>
        <v>0</v>
      </c>
      <c r="R73" s="275">
        <v>24.94</v>
      </c>
      <c r="S73" s="275">
        <v>56.34</v>
      </c>
      <c r="T73" s="275">
        <v>24.51</v>
      </c>
      <c r="U73" s="162">
        <f t="shared" si="12"/>
        <v>0</v>
      </c>
      <c r="V73" s="162">
        <f t="shared" si="13"/>
        <v>0</v>
      </c>
      <c r="W73" s="162">
        <f t="shared" si="17"/>
        <v>0</v>
      </c>
      <c r="X73" s="83">
        <f t="shared" si="18"/>
        <v>30</v>
      </c>
      <c r="AC73" s="286">
        <f t="shared" si="14"/>
        <v>0.2190464240903388</v>
      </c>
      <c r="AD73" s="286">
        <f t="shared" si="15"/>
        <v>0.43297678795483063</v>
      </c>
      <c r="AE73" s="286">
        <f t="shared" si="16"/>
        <v>0.18836104140526977</v>
      </c>
    </row>
    <row r="74" spans="1:31" s="21" customFormat="1" ht="12.75">
      <c r="A74" s="21" t="s">
        <v>113</v>
      </c>
      <c r="B74" s="6">
        <v>156</v>
      </c>
      <c r="C74" s="9" t="s">
        <v>373</v>
      </c>
      <c r="D74" s="10"/>
      <c r="E74" s="9" t="s">
        <v>373</v>
      </c>
      <c r="F74" s="10"/>
      <c r="G74" s="9" t="s">
        <v>373</v>
      </c>
      <c r="H74" s="10"/>
      <c r="I74" s="9" t="s">
        <v>373</v>
      </c>
      <c r="J74" s="10"/>
      <c r="K74" s="9" t="s">
        <v>373</v>
      </c>
      <c r="L74" s="10"/>
      <c r="M74" s="182" t="s">
        <v>410</v>
      </c>
      <c r="N74" s="276" t="s">
        <v>579</v>
      </c>
      <c r="O74" s="277" t="s">
        <v>579</v>
      </c>
      <c r="P74" s="235" t="str">
        <f t="shared" si="9"/>
        <v>N/A</v>
      </c>
      <c r="Q74" s="235" t="str">
        <f t="shared" si="10"/>
        <v>N/A</v>
      </c>
      <c r="R74" s="276" t="s">
        <v>579</v>
      </c>
      <c r="S74" s="276" t="s">
        <v>579</v>
      </c>
      <c r="T74" s="276" t="s">
        <v>579</v>
      </c>
      <c r="U74" s="235">
        <f t="shared" si="12"/>
        <v>2</v>
      </c>
      <c r="V74" s="235" t="str">
        <f t="shared" si="13"/>
        <v>N/A</v>
      </c>
      <c r="W74" s="235" t="str">
        <f t="shared" si="17"/>
        <v>N/A</v>
      </c>
      <c r="X74" s="236" t="str">
        <f t="shared" si="18"/>
        <v>N/A</v>
      </c>
      <c r="AC74" s="286" t="str">
        <f t="shared" si="14"/>
        <v>N/A</v>
      </c>
      <c r="AD74" s="286" t="str">
        <f t="shared" si="15"/>
        <v>N/A</v>
      </c>
      <c r="AE74" s="286" t="str">
        <f t="shared" si="16"/>
        <v>N/A</v>
      </c>
    </row>
    <row r="75" spans="1:31" ht="12.75">
      <c r="A75" t="s">
        <v>116</v>
      </c>
      <c r="B75" s="10">
        <v>101</v>
      </c>
      <c r="C75" s="157" t="s">
        <v>446</v>
      </c>
      <c r="D75" s="62"/>
      <c r="E75" s="157" t="s">
        <v>446</v>
      </c>
      <c r="F75" s="62"/>
      <c r="G75" s="157" t="s">
        <v>446</v>
      </c>
      <c r="H75" s="62"/>
      <c r="I75" s="157" t="s">
        <v>446</v>
      </c>
      <c r="J75" s="62"/>
      <c r="K75" s="157" t="s">
        <v>446</v>
      </c>
      <c r="L75" s="62"/>
      <c r="M75" s="41" t="s">
        <v>414</v>
      </c>
      <c r="N75" s="276">
        <v>1.35</v>
      </c>
      <c r="O75" s="278">
        <v>0.72</v>
      </c>
      <c r="P75" s="162">
        <f t="shared" si="9"/>
        <v>1</v>
      </c>
      <c r="Q75" s="162">
        <f t="shared" si="10"/>
        <v>0</v>
      </c>
      <c r="R75" s="275">
        <v>50.72</v>
      </c>
      <c r="S75" s="275">
        <v>36.27</v>
      </c>
      <c r="T75" s="275">
        <v>20.78</v>
      </c>
      <c r="U75" s="162">
        <f t="shared" si="12"/>
        <v>1</v>
      </c>
      <c r="V75" s="162">
        <f t="shared" si="13"/>
        <v>0</v>
      </c>
      <c r="W75" s="162">
        <f t="shared" si="17"/>
        <v>0</v>
      </c>
      <c r="X75" s="83">
        <f t="shared" si="18"/>
        <v>60</v>
      </c>
      <c r="AC75" s="286">
        <f aca="true" t="shared" si="19" ref="AC75:AC117">IF(R75="N/A","N/A",IF(M75="One-Zone",R75*$U$125/$T$122,IF(M75="Two-Zone",R75*$U$126/$T$122,R75*$U$125/$T$122)))</f>
        <v>0.5170639899623589</v>
      </c>
      <c r="AD75" s="286">
        <f t="shared" si="15"/>
        <v>0.2787374529485571</v>
      </c>
      <c r="AE75" s="286">
        <f t="shared" si="16"/>
        <v>0.15969573400250942</v>
      </c>
    </row>
    <row r="76" spans="1:31" ht="12.75">
      <c r="A76" t="s">
        <v>180</v>
      </c>
      <c r="B76" s="6">
        <v>155</v>
      </c>
      <c r="C76" s="157" t="s">
        <v>374</v>
      </c>
      <c r="D76" s="62"/>
      <c r="E76" s="157" t="s">
        <v>374</v>
      </c>
      <c r="F76" s="62"/>
      <c r="G76" s="157" t="s">
        <v>374</v>
      </c>
      <c r="H76" s="62"/>
      <c r="I76" s="157" t="s">
        <v>374</v>
      </c>
      <c r="J76" s="62"/>
      <c r="K76" s="157" t="s">
        <v>374</v>
      </c>
      <c r="L76" s="62"/>
      <c r="M76" s="41" t="s">
        <v>410</v>
      </c>
      <c r="N76" s="276">
        <v>0.47</v>
      </c>
      <c r="O76" s="278">
        <v>0.4</v>
      </c>
      <c r="P76" s="162">
        <f t="shared" si="9"/>
        <v>0</v>
      </c>
      <c r="Q76" s="162">
        <f t="shared" si="10"/>
        <v>0</v>
      </c>
      <c r="R76" s="275">
        <v>7.6</v>
      </c>
      <c r="S76" s="275">
        <v>8.25</v>
      </c>
      <c r="T76" s="276" t="s">
        <v>579</v>
      </c>
      <c r="U76" s="162">
        <f t="shared" si="12"/>
        <v>0</v>
      </c>
      <c r="V76" s="162">
        <f t="shared" si="13"/>
        <v>0</v>
      </c>
      <c r="W76" s="162" t="str">
        <f t="shared" si="17"/>
        <v>N/A</v>
      </c>
      <c r="X76" s="83" t="str">
        <f t="shared" si="18"/>
        <v>N/A</v>
      </c>
      <c r="AC76" s="286">
        <f t="shared" si="19"/>
        <v>0.06675031367628607</v>
      </c>
      <c r="AD76" s="286">
        <f t="shared" si="15"/>
        <v>0.06340181932245921</v>
      </c>
      <c r="AE76" s="286" t="str">
        <f t="shared" si="16"/>
        <v>N/A</v>
      </c>
    </row>
    <row r="77" spans="1:31" ht="12.75">
      <c r="A77" t="s">
        <v>85</v>
      </c>
      <c r="B77" s="10">
        <v>16</v>
      </c>
      <c r="C77" s="157" t="s">
        <v>448</v>
      </c>
      <c r="D77" s="62"/>
      <c r="E77" s="157" t="s">
        <v>448</v>
      </c>
      <c r="F77" s="62"/>
      <c r="G77" s="157" t="s">
        <v>448</v>
      </c>
      <c r="H77" s="62"/>
      <c r="I77" s="157" t="s">
        <v>448</v>
      </c>
      <c r="J77" s="62"/>
      <c r="K77" s="157" t="s">
        <v>448</v>
      </c>
      <c r="L77" s="62"/>
      <c r="M77" s="41" t="s">
        <v>410</v>
      </c>
      <c r="N77" s="276">
        <v>1.33</v>
      </c>
      <c r="O77" s="278">
        <v>0.99</v>
      </c>
      <c r="P77" s="162">
        <f t="shared" si="9"/>
        <v>1</v>
      </c>
      <c r="Q77" s="162">
        <f t="shared" si="10"/>
        <v>1</v>
      </c>
      <c r="R77" s="275">
        <v>53.69</v>
      </c>
      <c r="S77" s="275">
        <v>49.41</v>
      </c>
      <c r="T77" s="275">
        <v>17.07</v>
      </c>
      <c r="U77" s="162">
        <f t="shared" si="12"/>
        <v>0</v>
      </c>
      <c r="V77" s="162">
        <f t="shared" si="13"/>
        <v>0</v>
      </c>
      <c r="W77" s="162">
        <f t="shared" si="17"/>
        <v>0</v>
      </c>
      <c r="X77" s="83">
        <f t="shared" si="18"/>
        <v>60</v>
      </c>
      <c r="AC77" s="286">
        <f t="shared" si="19"/>
        <v>0.471555834378921</v>
      </c>
      <c r="AD77" s="286">
        <f t="shared" si="15"/>
        <v>0.37971925972396486</v>
      </c>
      <c r="AE77" s="286">
        <f t="shared" si="16"/>
        <v>0.13118412797992474</v>
      </c>
    </row>
    <row r="78" spans="1:31" ht="12.75">
      <c r="A78" t="s">
        <v>248</v>
      </c>
      <c r="B78" s="6">
        <v>908</v>
      </c>
      <c r="C78" s="157" t="s">
        <v>375</v>
      </c>
      <c r="D78" s="62"/>
      <c r="E78" s="157" t="s">
        <v>375</v>
      </c>
      <c r="F78" s="62"/>
      <c r="G78" s="157" t="s">
        <v>375</v>
      </c>
      <c r="H78" s="62"/>
      <c r="I78" s="157" t="s">
        <v>375</v>
      </c>
      <c r="J78" s="62"/>
      <c r="K78" s="157" t="s">
        <v>375</v>
      </c>
      <c r="L78" s="62"/>
      <c r="M78" s="41" t="s">
        <v>410</v>
      </c>
      <c r="N78" s="276">
        <v>0.38</v>
      </c>
      <c r="O78" s="278">
        <v>0.3</v>
      </c>
      <c r="P78" s="162">
        <f t="shared" si="9"/>
        <v>0</v>
      </c>
      <c r="Q78" s="162">
        <f t="shared" si="10"/>
        <v>0</v>
      </c>
      <c r="R78" s="275">
        <v>4.9</v>
      </c>
      <c r="S78" s="275">
        <v>3.91</v>
      </c>
      <c r="T78" s="276" t="s">
        <v>579</v>
      </c>
      <c r="U78" s="162">
        <f t="shared" si="12"/>
        <v>0</v>
      </c>
      <c r="V78" s="162">
        <f t="shared" si="13"/>
        <v>0</v>
      </c>
      <c r="W78" s="162" t="str">
        <f t="shared" si="17"/>
        <v>N/A</v>
      </c>
      <c r="X78" s="83" t="str">
        <f t="shared" si="18"/>
        <v>N/A</v>
      </c>
      <c r="AC78" s="286">
        <f t="shared" si="19"/>
        <v>0.043036386449184456</v>
      </c>
      <c r="AD78" s="286">
        <f t="shared" si="15"/>
        <v>0.03004861982434128</v>
      </c>
      <c r="AE78" s="286" t="str">
        <f t="shared" si="16"/>
        <v>N/A</v>
      </c>
    </row>
    <row r="79" spans="1:31" ht="12.75">
      <c r="A79" t="s">
        <v>250</v>
      </c>
      <c r="B79" s="6">
        <v>909</v>
      </c>
      <c r="C79" s="161" t="s">
        <v>376</v>
      </c>
      <c r="D79" s="62"/>
      <c r="E79" s="161" t="s">
        <v>376</v>
      </c>
      <c r="F79" s="62"/>
      <c r="G79" s="161" t="s">
        <v>376</v>
      </c>
      <c r="H79" s="62"/>
      <c r="I79" s="161" t="s">
        <v>376</v>
      </c>
      <c r="J79" s="62"/>
      <c r="K79" s="161" t="s">
        <v>376</v>
      </c>
      <c r="L79" s="62"/>
      <c r="M79" s="41" t="s">
        <v>410</v>
      </c>
      <c r="N79" s="276">
        <v>0.33</v>
      </c>
      <c r="O79" s="278">
        <v>0.33</v>
      </c>
      <c r="P79" s="162">
        <f t="shared" si="9"/>
        <v>0</v>
      </c>
      <c r="Q79" s="162">
        <f t="shared" si="10"/>
        <v>0</v>
      </c>
      <c r="R79" s="275">
        <v>5.74</v>
      </c>
      <c r="S79" s="275">
        <v>4.88</v>
      </c>
      <c r="T79" s="276" t="s">
        <v>579</v>
      </c>
      <c r="U79" s="162">
        <f t="shared" si="12"/>
        <v>0</v>
      </c>
      <c r="V79" s="162">
        <f t="shared" si="13"/>
        <v>0</v>
      </c>
      <c r="W79" s="162" t="str">
        <f t="shared" si="17"/>
        <v>N/A</v>
      </c>
      <c r="X79" s="83" t="str">
        <f t="shared" si="18"/>
        <v>N/A</v>
      </c>
      <c r="AC79" s="286">
        <f t="shared" si="19"/>
        <v>0.05041405269761607</v>
      </c>
      <c r="AD79" s="286">
        <f t="shared" si="15"/>
        <v>0.037503136762860725</v>
      </c>
      <c r="AE79" s="286" t="str">
        <f t="shared" si="16"/>
        <v>N/A</v>
      </c>
    </row>
    <row r="80" spans="1:31" ht="12.75">
      <c r="A80" t="s">
        <v>253</v>
      </c>
      <c r="B80" s="10">
        <v>255</v>
      </c>
      <c r="C80" s="157" t="s">
        <v>438</v>
      </c>
      <c r="D80" s="62"/>
      <c r="E80" s="157" t="s">
        <v>438</v>
      </c>
      <c r="F80" s="62"/>
      <c r="G80" s="157" t="s">
        <v>438</v>
      </c>
      <c r="H80" s="62"/>
      <c r="I80" s="157" t="s">
        <v>438</v>
      </c>
      <c r="J80" s="62"/>
      <c r="K80" s="157" t="s">
        <v>438</v>
      </c>
      <c r="L80" s="62"/>
      <c r="M80" s="41" t="s">
        <v>414</v>
      </c>
      <c r="N80" s="276">
        <v>1.6</v>
      </c>
      <c r="O80" s="278">
        <v>0.55</v>
      </c>
      <c r="P80" s="162">
        <f t="shared" si="9"/>
        <v>2</v>
      </c>
      <c r="Q80" s="162">
        <f t="shared" si="10"/>
        <v>0</v>
      </c>
      <c r="R80" s="275">
        <v>57.2</v>
      </c>
      <c r="S80" s="275">
        <v>22.36</v>
      </c>
      <c r="T80" s="275">
        <v>15.58</v>
      </c>
      <c r="U80" s="162">
        <f t="shared" si="12"/>
        <v>1</v>
      </c>
      <c r="V80" s="162">
        <f t="shared" si="13"/>
        <v>0</v>
      </c>
      <c r="W80" s="162">
        <f t="shared" si="17"/>
        <v>0</v>
      </c>
      <c r="X80" s="83">
        <f t="shared" si="18"/>
        <v>60</v>
      </c>
      <c r="AC80" s="286">
        <f t="shared" si="19"/>
        <v>0.5831242158092849</v>
      </c>
      <c r="AD80" s="286">
        <f t="shared" si="15"/>
        <v>0.17183814303638645</v>
      </c>
      <c r="AE80" s="286">
        <f t="shared" si="16"/>
        <v>0.11973337515683814</v>
      </c>
    </row>
    <row r="81" spans="1:31" ht="12.75">
      <c r="A81" t="s">
        <v>20</v>
      </c>
      <c r="B81" s="10">
        <v>70</v>
      </c>
      <c r="C81" s="157" t="s">
        <v>473</v>
      </c>
      <c r="D81" s="62"/>
      <c r="E81" s="157" t="s">
        <v>473</v>
      </c>
      <c r="F81" s="62"/>
      <c r="G81" s="157" t="s">
        <v>473</v>
      </c>
      <c r="H81" s="62"/>
      <c r="I81" s="157" t="s">
        <v>473</v>
      </c>
      <c r="J81" s="62"/>
      <c r="K81" s="157" t="s">
        <v>473</v>
      </c>
      <c r="L81" s="62"/>
      <c r="M81" s="41" t="s">
        <v>410</v>
      </c>
      <c r="N81" s="276">
        <v>0.69</v>
      </c>
      <c r="O81" s="278">
        <v>0.47</v>
      </c>
      <c r="P81" s="162">
        <f t="shared" si="9"/>
        <v>0</v>
      </c>
      <c r="Q81" s="162">
        <f t="shared" si="10"/>
        <v>0</v>
      </c>
      <c r="R81" s="275">
        <v>39.85</v>
      </c>
      <c r="S81" s="275">
        <v>26.97</v>
      </c>
      <c r="T81" s="275">
        <v>28.34</v>
      </c>
      <c r="U81" s="162">
        <f t="shared" si="12"/>
        <v>0</v>
      </c>
      <c r="V81" s="162">
        <f t="shared" si="13"/>
        <v>0</v>
      </c>
      <c r="W81" s="162">
        <f t="shared" si="17"/>
        <v>0</v>
      </c>
      <c r="X81" s="83">
        <f t="shared" si="18"/>
        <v>30</v>
      </c>
      <c r="AC81" s="286">
        <f t="shared" si="19"/>
        <v>0.35000000000000003</v>
      </c>
      <c r="AD81" s="286">
        <f t="shared" si="15"/>
        <v>0.20726631116687577</v>
      </c>
      <c r="AE81" s="286">
        <f t="shared" si="16"/>
        <v>0.2177948557089084</v>
      </c>
    </row>
    <row r="82" spans="1:31" ht="12.75">
      <c r="A82" t="s">
        <v>195</v>
      </c>
      <c r="B82" s="6">
        <v>39</v>
      </c>
      <c r="C82" s="157" t="s">
        <v>378</v>
      </c>
      <c r="D82" s="62"/>
      <c r="E82" s="157" t="s">
        <v>378</v>
      </c>
      <c r="F82" s="62"/>
      <c r="G82" s="157" t="s">
        <v>378</v>
      </c>
      <c r="H82" s="62"/>
      <c r="I82" s="157" t="s">
        <v>378</v>
      </c>
      <c r="J82" s="62"/>
      <c r="K82" s="157" t="s">
        <v>378</v>
      </c>
      <c r="L82" s="62"/>
      <c r="M82" s="41" t="s">
        <v>410</v>
      </c>
      <c r="N82" s="276">
        <v>1.25</v>
      </c>
      <c r="O82" s="278">
        <v>0.38</v>
      </c>
      <c r="P82" s="162">
        <f t="shared" si="9"/>
        <v>1</v>
      </c>
      <c r="Q82" s="162">
        <f t="shared" si="10"/>
        <v>0</v>
      </c>
      <c r="R82" s="275">
        <v>49.99</v>
      </c>
      <c r="S82" s="275">
        <v>29.8</v>
      </c>
      <c r="T82" s="275">
        <v>7.76</v>
      </c>
      <c r="U82" s="162">
        <f t="shared" si="12"/>
        <v>0</v>
      </c>
      <c r="V82" s="162">
        <f t="shared" si="13"/>
        <v>0</v>
      </c>
      <c r="W82" s="162">
        <f t="shared" si="17"/>
        <v>0</v>
      </c>
      <c r="X82" s="83">
        <f t="shared" si="18"/>
        <v>0</v>
      </c>
      <c r="AC82" s="286">
        <f t="shared" si="19"/>
        <v>0.4390589711417817</v>
      </c>
      <c r="AD82" s="286">
        <f t="shared" si="15"/>
        <v>0.2290150564617315</v>
      </c>
      <c r="AE82" s="286">
        <f t="shared" si="16"/>
        <v>0.05963613550815559</v>
      </c>
    </row>
    <row r="83" spans="1:31" ht="12.75">
      <c r="A83" t="s">
        <v>23</v>
      </c>
      <c r="B83" s="10">
        <v>49</v>
      </c>
      <c r="C83" s="157" t="s">
        <v>497</v>
      </c>
      <c r="D83" s="62"/>
      <c r="E83" s="157" t="s">
        <v>497</v>
      </c>
      <c r="F83" s="62"/>
      <c r="G83" s="157" t="s">
        <v>497</v>
      </c>
      <c r="H83" s="62"/>
      <c r="I83" s="157" t="s">
        <v>497</v>
      </c>
      <c r="J83" s="62"/>
      <c r="K83" s="157" t="s">
        <v>497</v>
      </c>
      <c r="L83" s="62"/>
      <c r="M83" s="41" t="s">
        <v>410</v>
      </c>
      <c r="N83" s="276">
        <v>0.64</v>
      </c>
      <c r="O83" s="278">
        <v>0.61</v>
      </c>
      <c r="P83" s="162">
        <f t="shared" si="9"/>
        <v>0</v>
      </c>
      <c r="Q83" s="162">
        <f t="shared" si="10"/>
        <v>0</v>
      </c>
      <c r="R83" s="275">
        <v>44.94</v>
      </c>
      <c r="S83" s="275">
        <v>47.59</v>
      </c>
      <c r="T83" s="275">
        <v>85.66</v>
      </c>
      <c r="U83" s="162">
        <f t="shared" si="12"/>
        <v>0</v>
      </c>
      <c r="V83" s="162">
        <f t="shared" si="13"/>
        <v>0</v>
      </c>
      <c r="W83" s="162">
        <f t="shared" si="17"/>
        <v>1</v>
      </c>
      <c r="X83" s="83">
        <f t="shared" si="18"/>
        <v>30</v>
      </c>
      <c r="AC83" s="286">
        <f t="shared" si="19"/>
        <v>0.3947051442910916</v>
      </c>
      <c r="AD83" s="286">
        <f t="shared" si="15"/>
        <v>0.36573243412797996</v>
      </c>
      <c r="AE83" s="286">
        <f t="shared" si="16"/>
        <v>0.6583030112923463</v>
      </c>
    </row>
    <row r="84" spans="1:31" ht="12.75">
      <c r="A84" t="s">
        <v>199</v>
      </c>
      <c r="B84" s="6">
        <v>9</v>
      </c>
      <c r="C84" s="157" t="s">
        <v>379</v>
      </c>
      <c r="D84" s="62"/>
      <c r="E84" s="157" t="s">
        <v>379</v>
      </c>
      <c r="F84" s="62"/>
      <c r="G84" s="157" t="s">
        <v>379</v>
      </c>
      <c r="H84" s="62"/>
      <c r="I84" s="157" t="s">
        <v>379</v>
      </c>
      <c r="J84" s="62"/>
      <c r="K84" s="157" t="s">
        <v>379</v>
      </c>
      <c r="L84" s="62"/>
      <c r="M84" s="41" t="s">
        <v>410</v>
      </c>
      <c r="N84" s="276">
        <v>1.51</v>
      </c>
      <c r="O84" s="278">
        <v>0.66</v>
      </c>
      <c r="P84" s="162">
        <f t="shared" si="9"/>
        <v>2</v>
      </c>
      <c r="Q84" s="162">
        <f t="shared" si="10"/>
        <v>0</v>
      </c>
      <c r="R84" s="275">
        <v>73.08</v>
      </c>
      <c r="S84" s="275">
        <v>45.21</v>
      </c>
      <c r="T84" s="276" t="s">
        <v>579</v>
      </c>
      <c r="U84" s="162">
        <f t="shared" si="12"/>
        <v>1</v>
      </c>
      <c r="V84" s="162">
        <f t="shared" si="13"/>
        <v>0</v>
      </c>
      <c r="W84" s="162" t="str">
        <f t="shared" si="17"/>
        <v>N/A</v>
      </c>
      <c r="X84" s="83" t="str">
        <f t="shared" si="18"/>
        <v>N/A</v>
      </c>
      <c r="AC84" s="286">
        <f t="shared" si="19"/>
        <v>0.6418569636135509</v>
      </c>
      <c r="AD84" s="286">
        <f t="shared" si="15"/>
        <v>0.34744196988707654</v>
      </c>
      <c r="AE84" s="286" t="str">
        <f t="shared" si="16"/>
        <v>N/A</v>
      </c>
    </row>
    <row r="85" spans="1:31" ht="12.75">
      <c r="A85" t="s">
        <v>182</v>
      </c>
      <c r="B85" s="10">
        <v>271</v>
      </c>
      <c r="C85" s="157" t="s">
        <v>447</v>
      </c>
      <c r="D85" s="62"/>
      <c r="E85" s="157" t="s">
        <v>447</v>
      </c>
      <c r="F85" s="62"/>
      <c r="G85" s="157" t="s">
        <v>447</v>
      </c>
      <c r="H85" s="62"/>
      <c r="I85" s="157" t="s">
        <v>447</v>
      </c>
      <c r="J85" s="62"/>
      <c r="K85" s="157" t="s">
        <v>447</v>
      </c>
      <c r="L85" s="62"/>
      <c r="M85" s="41" t="s">
        <v>414</v>
      </c>
      <c r="N85" s="276">
        <v>1.76</v>
      </c>
      <c r="O85" s="278">
        <v>0.69</v>
      </c>
      <c r="P85" s="162">
        <f t="shared" si="9"/>
        <v>2</v>
      </c>
      <c r="Q85" s="162">
        <f t="shared" si="10"/>
        <v>0</v>
      </c>
      <c r="R85" s="275">
        <v>49.78</v>
      </c>
      <c r="S85" s="275">
        <v>25.61</v>
      </c>
      <c r="T85" s="275">
        <v>14.96</v>
      </c>
      <c r="U85" s="162">
        <f t="shared" si="12"/>
        <v>1</v>
      </c>
      <c r="V85" s="162">
        <f t="shared" si="13"/>
        <v>0</v>
      </c>
      <c r="W85" s="162">
        <f t="shared" si="17"/>
        <v>0</v>
      </c>
      <c r="X85" s="83">
        <f t="shared" si="18"/>
        <v>60</v>
      </c>
      <c r="AC85" s="286">
        <f t="shared" si="19"/>
        <v>0.5074811794228357</v>
      </c>
      <c r="AD85" s="286">
        <f t="shared" si="15"/>
        <v>0.196814617314931</v>
      </c>
      <c r="AE85" s="286">
        <f t="shared" si="16"/>
        <v>0.11496863237139272</v>
      </c>
    </row>
    <row r="86" spans="1:31" ht="12.75">
      <c r="A86" t="s">
        <v>53</v>
      </c>
      <c r="B86" s="6">
        <v>27</v>
      </c>
      <c r="C86" s="157" t="s">
        <v>380</v>
      </c>
      <c r="D86" s="62"/>
      <c r="E86" s="157" t="s">
        <v>380</v>
      </c>
      <c r="F86" s="62"/>
      <c r="G86" s="157" t="s">
        <v>380</v>
      </c>
      <c r="H86" s="62"/>
      <c r="I86" s="157" t="s">
        <v>380</v>
      </c>
      <c r="J86" s="62"/>
      <c r="K86" s="157" t="s">
        <v>380</v>
      </c>
      <c r="L86" s="62"/>
      <c r="M86" s="41" t="s">
        <v>410</v>
      </c>
      <c r="N86" s="276">
        <v>0.62</v>
      </c>
      <c r="O86" s="278">
        <v>0.44</v>
      </c>
      <c r="P86" s="162">
        <f t="shared" si="9"/>
        <v>0</v>
      </c>
      <c r="Q86" s="162">
        <f t="shared" si="10"/>
        <v>0</v>
      </c>
      <c r="R86" s="275">
        <v>35.07</v>
      </c>
      <c r="S86" s="275">
        <v>30.55</v>
      </c>
      <c r="T86" s="275">
        <v>16.48</v>
      </c>
      <c r="U86" s="162">
        <f t="shared" si="12"/>
        <v>0</v>
      </c>
      <c r="V86" s="162">
        <f t="shared" si="13"/>
        <v>0</v>
      </c>
      <c r="W86" s="162">
        <f t="shared" si="17"/>
        <v>0</v>
      </c>
      <c r="X86" s="83">
        <f t="shared" si="18"/>
        <v>60</v>
      </c>
      <c r="AC86" s="286">
        <f t="shared" si="19"/>
        <v>0.3080175658720201</v>
      </c>
      <c r="AD86" s="286">
        <f t="shared" si="15"/>
        <v>0.2347788582183187</v>
      </c>
      <c r="AE86" s="286">
        <f t="shared" si="16"/>
        <v>0.1266499372647428</v>
      </c>
    </row>
    <row r="87" spans="1:31" ht="12.75">
      <c r="A87" t="s">
        <v>65</v>
      </c>
      <c r="B87" s="8" t="s">
        <v>68</v>
      </c>
      <c r="C87" s="157" t="s">
        <v>442</v>
      </c>
      <c r="D87" s="62"/>
      <c r="E87" s="157" t="s">
        <v>442</v>
      </c>
      <c r="F87" s="62"/>
      <c r="G87" s="157" t="s">
        <v>442</v>
      </c>
      <c r="H87" s="62"/>
      <c r="I87" s="157" t="s">
        <v>442</v>
      </c>
      <c r="J87" s="62"/>
      <c r="K87" s="157" t="s">
        <v>442</v>
      </c>
      <c r="L87" s="62"/>
      <c r="M87" s="41" t="s">
        <v>414</v>
      </c>
      <c r="N87" s="276">
        <v>1.44</v>
      </c>
      <c r="O87" s="278">
        <v>0.7</v>
      </c>
      <c r="P87" s="162">
        <f t="shared" si="9"/>
        <v>1</v>
      </c>
      <c r="Q87" s="162">
        <f t="shared" si="10"/>
        <v>0</v>
      </c>
      <c r="R87" s="275">
        <v>87.92</v>
      </c>
      <c r="S87" s="275">
        <v>101.19</v>
      </c>
      <c r="T87" s="275">
        <v>33.69</v>
      </c>
      <c r="U87" s="162">
        <f t="shared" si="12"/>
        <v>1</v>
      </c>
      <c r="V87" s="162">
        <f t="shared" si="13"/>
        <v>1</v>
      </c>
      <c r="W87" s="162">
        <f t="shared" si="17"/>
        <v>0</v>
      </c>
      <c r="X87" s="83">
        <f t="shared" si="18"/>
        <v>30</v>
      </c>
      <c r="AC87" s="286">
        <f t="shared" si="19"/>
        <v>0.8962986198243413</v>
      </c>
      <c r="AD87" s="286">
        <f t="shared" si="15"/>
        <v>0.7776521329987452</v>
      </c>
      <c r="AE87" s="286">
        <f t="shared" si="16"/>
        <v>0.2589099749058971</v>
      </c>
    </row>
    <row r="88" spans="1:31" ht="12.75">
      <c r="A88" t="s">
        <v>140</v>
      </c>
      <c r="B88" s="7">
        <v>348</v>
      </c>
      <c r="C88" s="157" t="s">
        <v>495</v>
      </c>
      <c r="D88" s="62"/>
      <c r="E88" s="157" t="s">
        <v>495</v>
      </c>
      <c r="F88" s="62"/>
      <c r="G88" s="157" t="s">
        <v>495</v>
      </c>
      <c r="H88" s="62"/>
      <c r="I88" s="157" t="s">
        <v>495</v>
      </c>
      <c r="J88" s="62"/>
      <c r="K88" s="157" t="s">
        <v>495</v>
      </c>
      <c r="L88" s="62"/>
      <c r="M88" s="41" t="s">
        <v>414</v>
      </c>
      <c r="N88" s="276">
        <v>0.74</v>
      </c>
      <c r="O88" s="278">
        <v>0.67</v>
      </c>
      <c r="P88" s="162">
        <f t="shared" si="9"/>
        <v>0</v>
      </c>
      <c r="Q88" s="162">
        <f t="shared" si="10"/>
        <v>0</v>
      </c>
      <c r="R88" s="275">
        <v>30.55</v>
      </c>
      <c r="S88" s="275">
        <v>32.08</v>
      </c>
      <c r="T88" s="275">
        <v>17.78</v>
      </c>
      <c r="U88" s="162">
        <f t="shared" si="12"/>
        <v>0</v>
      </c>
      <c r="V88" s="162">
        <f t="shared" si="13"/>
        <v>0</v>
      </c>
      <c r="W88" s="162">
        <f t="shared" si="17"/>
        <v>0</v>
      </c>
      <c r="X88" s="83">
        <f t="shared" si="18"/>
        <v>60</v>
      </c>
      <c r="AC88" s="286">
        <f t="shared" si="19"/>
        <v>0.31144134253450445</v>
      </c>
      <c r="AD88" s="286">
        <f t="shared" si="15"/>
        <v>0.24653701380175658</v>
      </c>
      <c r="AE88" s="286">
        <f t="shared" si="16"/>
        <v>0.13664052697616064</v>
      </c>
    </row>
    <row r="89" spans="1:31" ht="12.75">
      <c r="A89" t="s">
        <v>255</v>
      </c>
      <c r="B89" s="8" t="s">
        <v>258</v>
      </c>
      <c r="C89" s="157" t="s">
        <v>454</v>
      </c>
      <c r="D89" s="62"/>
      <c r="E89" s="157" t="s">
        <v>454</v>
      </c>
      <c r="F89" s="62"/>
      <c r="G89" s="157" t="s">
        <v>454</v>
      </c>
      <c r="H89" s="62"/>
      <c r="I89" s="157" t="s">
        <v>454</v>
      </c>
      <c r="J89" s="62"/>
      <c r="K89" s="157" t="s">
        <v>454</v>
      </c>
      <c r="L89" s="62"/>
      <c r="M89" s="41" t="s">
        <v>410</v>
      </c>
      <c r="N89" s="276">
        <v>1.08</v>
      </c>
      <c r="O89" s="278">
        <v>0.51</v>
      </c>
      <c r="P89" s="162">
        <f t="shared" si="9"/>
        <v>1</v>
      </c>
      <c r="Q89" s="162">
        <f t="shared" si="10"/>
        <v>0</v>
      </c>
      <c r="R89" s="275">
        <v>52.23</v>
      </c>
      <c r="S89" s="275">
        <v>36.47</v>
      </c>
      <c r="T89" s="275">
        <v>20.66</v>
      </c>
      <c r="U89" s="162">
        <f t="shared" si="12"/>
        <v>0</v>
      </c>
      <c r="V89" s="162">
        <f t="shared" si="13"/>
        <v>0</v>
      </c>
      <c r="W89" s="162">
        <f t="shared" si="17"/>
        <v>0</v>
      </c>
      <c r="X89" s="83">
        <f t="shared" si="18"/>
        <v>60</v>
      </c>
      <c r="AC89" s="286">
        <f t="shared" si="19"/>
        <v>0.45873274780426604</v>
      </c>
      <c r="AD89" s="286">
        <f t="shared" si="15"/>
        <v>0.2802744667503137</v>
      </c>
      <c r="AE89" s="286">
        <f t="shared" si="16"/>
        <v>0.15877352572145548</v>
      </c>
    </row>
    <row r="90" spans="1:31" ht="12.75">
      <c r="A90" t="s">
        <v>297</v>
      </c>
      <c r="B90" s="6">
        <v>209</v>
      </c>
      <c r="C90" s="157" t="s">
        <v>381</v>
      </c>
      <c r="D90" s="62"/>
      <c r="E90" s="157" t="s">
        <v>381</v>
      </c>
      <c r="F90" s="62"/>
      <c r="G90" s="157" t="s">
        <v>381</v>
      </c>
      <c r="H90" s="62"/>
      <c r="I90" s="157" t="s">
        <v>381</v>
      </c>
      <c r="J90" s="62"/>
      <c r="K90" s="157" t="s">
        <v>381</v>
      </c>
      <c r="L90" s="62"/>
      <c r="M90" s="41" t="s">
        <v>410</v>
      </c>
      <c r="N90" s="276">
        <v>0.22</v>
      </c>
      <c r="O90" s="278">
        <v>0.25</v>
      </c>
      <c r="P90" s="162">
        <f t="shared" si="9"/>
        <v>0</v>
      </c>
      <c r="Q90" s="162">
        <f t="shared" si="10"/>
        <v>0</v>
      </c>
      <c r="R90" s="275">
        <v>5.09</v>
      </c>
      <c r="S90" s="275">
        <v>9.2</v>
      </c>
      <c r="T90" s="275">
        <v>5.03</v>
      </c>
      <c r="U90" s="162">
        <f t="shared" si="12"/>
        <v>0</v>
      </c>
      <c r="V90" s="162">
        <f t="shared" si="13"/>
        <v>0</v>
      </c>
      <c r="W90" s="162">
        <f t="shared" si="17"/>
        <v>0</v>
      </c>
      <c r="X90" s="83">
        <f t="shared" si="18"/>
        <v>0</v>
      </c>
      <c r="AC90" s="286">
        <f t="shared" si="19"/>
        <v>0.0447051442910916</v>
      </c>
      <c r="AD90" s="286">
        <f t="shared" si="15"/>
        <v>0.07070263488080301</v>
      </c>
      <c r="AE90" s="286">
        <f t="shared" si="16"/>
        <v>0.03865589711417817</v>
      </c>
    </row>
    <row r="91" spans="1:31" s="21" customFormat="1" ht="12.75">
      <c r="A91" s="21" t="s">
        <v>300</v>
      </c>
      <c r="B91" s="6">
        <v>246</v>
      </c>
      <c r="C91" s="9" t="s">
        <v>510</v>
      </c>
      <c r="D91" s="10"/>
      <c r="E91" s="9" t="s">
        <v>510</v>
      </c>
      <c r="F91" s="10"/>
      <c r="G91" s="9" t="s">
        <v>510</v>
      </c>
      <c r="H91" s="10"/>
      <c r="I91" s="9" t="s">
        <v>510</v>
      </c>
      <c r="J91" s="10"/>
      <c r="K91" s="9" t="s">
        <v>510</v>
      </c>
      <c r="L91" s="10"/>
      <c r="M91" s="182" t="s">
        <v>410</v>
      </c>
      <c r="N91" s="276">
        <v>1.02</v>
      </c>
      <c r="O91" s="278">
        <v>0.47</v>
      </c>
      <c r="P91" s="162">
        <f t="shared" si="9"/>
        <v>1</v>
      </c>
      <c r="Q91" s="162">
        <f t="shared" si="10"/>
        <v>0</v>
      </c>
      <c r="R91" s="275">
        <v>15.21</v>
      </c>
      <c r="S91" s="277" t="s">
        <v>579</v>
      </c>
      <c r="T91" s="277" t="s">
        <v>579</v>
      </c>
      <c r="U91" s="162">
        <f t="shared" si="12"/>
        <v>0</v>
      </c>
      <c r="V91" s="162" t="str">
        <f t="shared" si="13"/>
        <v>N/A</v>
      </c>
      <c r="W91" s="162" t="s">
        <v>579</v>
      </c>
      <c r="X91" s="83" t="s">
        <v>579</v>
      </c>
      <c r="AC91" s="286">
        <f t="shared" si="19"/>
        <v>0.13358845671267255</v>
      </c>
      <c r="AD91" s="286" t="str">
        <f t="shared" si="15"/>
        <v>N/A</v>
      </c>
      <c r="AE91" s="286" t="str">
        <f t="shared" si="16"/>
        <v>N/A</v>
      </c>
    </row>
    <row r="92" spans="1:31" ht="12.75">
      <c r="A92" t="s">
        <v>302</v>
      </c>
      <c r="B92" s="6">
        <v>233</v>
      </c>
      <c r="C92" s="157" t="s">
        <v>382</v>
      </c>
      <c r="D92" s="62"/>
      <c r="E92" s="157" t="s">
        <v>382</v>
      </c>
      <c r="F92" s="62"/>
      <c r="G92" s="157" t="s">
        <v>382</v>
      </c>
      <c r="H92" s="62"/>
      <c r="I92" s="157" t="s">
        <v>382</v>
      </c>
      <c r="J92" s="62"/>
      <c r="K92" s="157" t="s">
        <v>382</v>
      </c>
      <c r="L92" s="62"/>
      <c r="M92" s="41" t="s">
        <v>410</v>
      </c>
      <c r="N92" s="276">
        <v>0.79</v>
      </c>
      <c r="O92" s="278">
        <v>0.36</v>
      </c>
      <c r="P92" s="162">
        <f t="shared" si="9"/>
        <v>0</v>
      </c>
      <c r="Q92" s="162">
        <f t="shared" si="10"/>
        <v>0</v>
      </c>
      <c r="R92" s="275">
        <v>38.28</v>
      </c>
      <c r="S92" s="275">
        <v>28.74</v>
      </c>
      <c r="T92" s="276" t="s">
        <v>579</v>
      </c>
      <c r="U92" s="162">
        <f t="shared" si="12"/>
        <v>0</v>
      </c>
      <c r="V92" s="162">
        <f t="shared" si="13"/>
        <v>0</v>
      </c>
      <c r="W92" s="162" t="str">
        <f t="shared" si="17"/>
        <v>N/A</v>
      </c>
      <c r="X92" s="83" t="str">
        <f t="shared" si="18"/>
        <v>N/A</v>
      </c>
      <c r="AC92" s="286">
        <f t="shared" si="19"/>
        <v>0.33621079046424096</v>
      </c>
      <c r="AD92" s="286">
        <f t="shared" si="15"/>
        <v>0.22086888331242158</v>
      </c>
      <c r="AE92" s="286" t="str">
        <f t="shared" si="16"/>
        <v>N/A</v>
      </c>
    </row>
    <row r="93" spans="1:31" ht="12.75">
      <c r="A93" t="s">
        <v>304</v>
      </c>
      <c r="B93" s="6">
        <v>249</v>
      </c>
      <c r="C93" s="157" t="s">
        <v>383</v>
      </c>
      <c r="D93" s="62"/>
      <c r="E93" s="157" t="s">
        <v>383</v>
      </c>
      <c r="F93" s="62"/>
      <c r="G93" s="157" t="s">
        <v>383</v>
      </c>
      <c r="H93" s="62"/>
      <c r="I93" s="157" t="s">
        <v>383</v>
      </c>
      <c r="J93" s="62"/>
      <c r="K93" s="157" t="s">
        <v>383</v>
      </c>
      <c r="L93" s="62"/>
      <c r="M93" s="41" t="s">
        <v>410</v>
      </c>
      <c r="N93" s="276">
        <v>0.49</v>
      </c>
      <c r="O93" s="278">
        <v>0.5</v>
      </c>
      <c r="P93" s="162">
        <f t="shared" si="9"/>
        <v>0</v>
      </c>
      <c r="Q93" s="162">
        <f t="shared" si="10"/>
        <v>0</v>
      </c>
      <c r="R93" s="275">
        <v>27.06</v>
      </c>
      <c r="S93" s="275">
        <v>13.38</v>
      </c>
      <c r="T93" s="276" t="s">
        <v>579</v>
      </c>
      <c r="U93" s="162">
        <f t="shared" si="12"/>
        <v>0</v>
      </c>
      <c r="V93" s="162">
        <f t="shared" si="13"/>
        <v>0</v>
      </c>
      <c r="W93" s="162" t="str">
        <f t="shared" si="17"/>
        <v>N/A</v>
      </c>
      <c r="X93" s="83" t="str">
        <f t="shared" si="18"/>
        <v>N/A</v>
      </c>
      <c r="AC93" s="286">
        <f t="shared" si="19"/>
        <v>0.2376662484316186</v>
      </c>
      <c r="AD93" s="286">
        <f t="shared" si="15"/>
        <v>0.10282622333751569</v>
      </c>
      <c r="AE93" s="286" t="str">
        <f t="shared" si="16"/>
        <v>N/A</v>
      </c>
    </row>
    <row r="94" spans="1:31" ht="12.75">
      <c r="A94" t="s">
        <v>306</v>
      </c>
      <c r="B94" s="6">
        <v>224</v>
      </c>
      <c r="C94" s="157" t="s">
        <v>533</v>
      </c>
      <c r="D94" s="157"/>
      <c r="E94" s="157" t="s">
        <v>533</v>
      </c>
      <c r="F94" s="157"/>
      <c r="G94" s="157" t="s">
        <v>533</v>
      </c>
      <c r="H94" s="157"/>
      <c r="I94" s="157" t="s">
        <v>533</v>
      </c>
      <c r="J94" s="157"/>
      <c r="K94" s="157" t="s">
        <v>533</v>
      </c>
      <c r="L94" s="157"/>
      <c r="M94" s="41" t="s">
        <v>410</v>
      </c>
      <c r="N94" s="276">
        <v>0.33</v>
      </c>
      <c r="O94" s="278">
        <v>0.29</v>
      </c>
      <c r="P94" s="162">
        <f aca="true" t="shared" si="20" ref="P94:P117">IF(N94="N/A","N/A",IF(N94&gt;=$N$122,$O$122,IF(N94&gt;=$N$123,$O$123,0)))</f>
        <v>0</v>
      </c>
      <c r="Q94" s="162">
        <f aca="true" t="shared" si="21" ref="Q94:Q117">IF(O94="N/A","N/A",IF(O94&gt;=$N$122,$O$122,IF(O94&gt;=$N$123,$O$123,0)))</f>
        <v>0</v>
      </c>
      <c r="R94" s="275">
        <v>4.12</v>
      </c>
      <c r="S94" s="275">
        <v>5.07</v>
      </c>
      <c r="T94" s="276" t="s">
        <v>579</v>
      </c>
      <c r="U94" s="162">
        <f t="shared" si="12"/>
        <v>0</v>
      </c>
      <c r="V94" s="162">
        <f t="shared" si="13"/>
        <v>0</v>
      </c>
      <c r="W94" s="162" t="str">
        <f t="shared" si="17"/>
        <v>N/A</v>
      </c>
      <c r="X94" s="83" t="str">
        <f t="shared" si="18"/>
        <v>N/A</v>
      </c>
      <c r="AC94" s="286">
        <f t="shared" si="19"/>
        <v>0.03618569636135509</v>
      </c>
      <c r="AD94" s="286">
        <f t="shared" si="15"/>
        <v>0.03896329987452949</v>
      </c>
      <c r="AE94" s="286" t="str">
        <f t="shared" si="16"/>
        <v>N/A</v>
      </c>
    </row>
    <row r="95" spans="1:31" ht="12.75">
      <c r="A95" t="s">
        <v>309</v>
      </c>
      <c r="B95" s="6">
        <v>251</v>
      </c>
      <c r="C95" s="157" t="s">
        <v>384</v>
      </c>
      <c r="D95" s="62"/>
      <c r="E95" s="157" t="s">
        <v>384</v>
      </c>
      <c r="F95" s="62"/>
      <c r="G95" s="157" t="s">
        <v>384</v>
      </c>
      <c r="H95" s="62"/>
      <c r="I95" s="157" t="s">
        <v>384</v>
      </c>
      <c r="J95" s="62"/>
      <c r="K95" s="157" t="s">
        <v>384</v>
      </c>
      <c r="L95" s="62"/>
      <c r="M95" s="41" t="s">
        <v>410</v>
      </c>
      <c r="N95" s="276">
        <v>0.32</v>
      </c>
      <c r="O95" s="278">
        <v>0.27</v>
      </c>
      <c r="P95" s="162">
        <f t="shared" si="20"/>
        <v>0</v>
      </c>
      <c r="Q95" s="162">
        <f t="shared" si="21"/>
        <v>0</v>
      </c>
      <c r="R95" s="275">
        <v>12.54</v>
      </c>
      <c r="S95" s="275">
        <v>5.83</v>
      </c>
      <c r="T95" s="276" t="s">
        <v>579</v>
      </c>
      <c r="U95" s="162">
        <f t="shared" si="12"/>
        <v>0</v>
      </c>
      <c r="V95" s="162">
        <f t="shared" si="13"/>
        <v>0</v>
      </c>
      <c r="W95" s="162" t="str">
        <f t="shared" si="17"/>
        <v>N/A</v>
      </c>
      <c r="X95" s="83" t="str">
        <f t="shared" si="18"/>
        <v>N/A</v>
      </c>
      <c r="AC95" s="286">
        <f t="shared" si="19"/>
        <v>0.11013801756587202</v>
      </c>
      <c r="AD95" s="286">
        <f t="shared" si="15"/>
        <v>0.044803952321204515</v>
      </c>
      <c r="AE95" s="286" t="str">
        <f t="shared" si="16"/>
        <v>N/A</v>
      </c>
    </row>
    <row r="96" spans="1:31" ht="12.75">
      <c r="A96" t="s">
        <v>312</v>
      </c>
      <c r="B96" s="6">
        <v>935</v>
      </c>
      <c r="C96" s="157" t="s">
        <v>385</v>
      </c>
      <c r="D96" s="62"/>
      <c r="E96" s="157" t="s">
        <v>385</v>
      </c>
      <c r="F96" s="62"/>
      <c r="G96" s="157" t="s">
        <v>385</v>
      </c>
      <c r="H96" s="62"/>
      <c r="I96" s="157" t="s">
        <v>385</v>
      </c>
      <c r="J96" s="62"/>
      <c r="K96" s="157" t="s">
        <v>385</v>
      </c>
      <c r="L96" s="62"/>
      <c r="M96" s="41" t="s">
        <v>410</v>
      </c>
      <c r="N96" s="276">
        <v>0.23</v>
      </c>
      <c r="O96" s="278">
        <v>0.2</v>
      </c>
      <c r="P96" s="162">
        <f t="shared" si="20"/>
        <v>0</v>
      </c>
      <c r="Q96" s="162">
        <f t="shared" si="21"/>
        <v>0</v>
      </c>
      <c r="R96" s="275">
        <v>11.56</v>
      </c>
      <c r="S96" s="275">
        <v>4.05</v>
      </c>
      <c r="T96" s="276" t="s">
        <v>579</v>
      </c>
      <c r="U96" s="162">
        <f t="shared" si="12"/>
        <v>0</v>
      </c>
      <c r="V96" s="162">
        <f t="shared" si="13"/>
        <v>0</v>
      </c>
      <c r="W96" s="162" t="str">
        <f t="shared" si="17"/>
        <v>N/A</v>
      </c>
      <c r="X96" s="83" t="str">
        <f t="shared" si="18"/>
        <v>N/A</v>
      </c>
      <c r="AC96" s="286">
        <f t="shared" si="19"/>
        <v>0.10153074027603515</v>
      </c>
      <c r="AD96" s="286">
        <f t="shared" si="15"/>
        <v>0.03112452948557089</v>
      </c>
      <c r="AE96" s="286" t="str">
        <f t="shared" si="16"/>
        <v>N/A</v>
      </c>
    </row>
    <row r="97" spans="1:31" ht="12.75">
      <c r="A97" t="s">
        <v>314</v>
      </c>
      <c r="B97" s="6">
        <v>25</v>
      </c>
      <c r="C97" s="157" t="s">
        <v>386</v>
      </c>
      <c r="D97" s="62"/>
      <c r="E97" s="157" t="s">
        <v>386</v>
      </c>
      <c r="F97" s="62"/>
      <c r="G97" s="157" t="s">
        <v>386</v>
      </c>
      <c r="H97" s="62"/>
      <c r="I97" s="157" t="s">
        <v>386</v>
      </c>
      <c r="J97" s="62"/>
      <c r="K97" s="157" t="s">
        <v>386</v>
      </c>
      <c r="L97" s="62"/>
      <c r="M97" s="41" t="s">
        <v>410</v>
      </c>
      <c r="N97" s="276">
        <v>0.42</v>
      </c>
      <c r="O97" s="278">
        <v>0.27</v>
      </c>
      <c r="P97" s="162">
        <f t="shared" si="20"/>
        <v>0</v>
      </c>
      <c r="Q97" s="162">
        <f t="shared" si="21"/>
        <v>0</v>
      </c>
      <c r="R97" s="275">
        <v>18.06</v>
      </c>
      <c r="S97" s="275">
        <v>7.36</v>
      </c>
      <c r="T97" s="276" t="s">
        <v>579</v>
      </c>
      <c r="U97" s="162">
        <f t="shared" si="12"/>
        <v>0</v>
      </c>
      <c r="V97" s="162">
        <f t="shared" si="13"/>
        <v>0</v>
      </c>
      <c r="W97" s="162" t="str">
        <f t="shared" si="17"/>
        <v>N/A</v>
      </c>
      <c r="X97" s="83" t="str">
        <f t="shared" si="18"/>
        <v>N/A</v>
      </c>
      <c r="AC97" s="286">
        <f t="shared" si="19"/>
        <v>0.1586198243412798</v>
      </c>
      <c r="AD97" s="286">
        <f t="shared" si="15"/>
        <v>0.05656210790464242</v>
      </c>
      <c r="AE97" s="286" t="str">
        <f t="shared" si="16"/>
        <v>N/A</v>
      </c>
    </row>
    <row r="98" spans="1:31" ht="12.75">
      <c r="A98" t="s">
        <v>159</v>
      </c>
      <c r="B98" s="6">
        <v>25</v>
      </c>
      <c r="C98" s="157" t="s">
        <v>386</v>
      </c>
      <c r="D98" s="62"/>
      <c r="E98" s="157" t="s">
        <v>386</v>
      </c>
      <c r="F98" s="62"/>
      <c r="G98" s="157" t="s">
        <v>386</v>
      </c>
      <c r="H98" s="62"/>
      <c r="I98" s="157" t="s">
        <v>386</v>
      </c>
      <c r="J98" s="62"/>
      <c r="K98" s="157" t="s">
        <v>386</v>
      </c>
      <c r="L98" s="62"/>
      <c r="M98" s="41" t="s">
        <v>410</v>
      </c>
      <c r="N98" s="276">
        <v>0.42</v>
      </c>
      <c r="O98" s="278">
        <v>0.27</v>
      </c>
      <c r="P98" s="162">
        <f t="shared" si="20"/>
        <v>0</v>
      </c>
      <c r="Q98" s="162">
        <f t="shared" si="21"/>
        <v>0</v>
      </c>
      <c r="R98" s="275">
        <v>18.06</v>
      </c>
      <c r="S98" s="275">
        <v>7.36</v>
      </c>
      <c r="T98" s="276" t="s">
        <v>579</v>
      </c>
      <c r="U98" s="162">
        <f t="shared" si="12"/>
        <v>0</v>
      </c>
      <c r="V98" s="162">
        <f t="shared" si="13"/>
        <v>0</v>
      </c>
      <c r="W98" s="162" t="str">
        <f t="shared" si="17"/>
        <v>N/A</v>
      </c>
      <c r="X98" s="83" t="str">
        <f t="shared" si="18"/>
        <v>N/A</v>
      </c>
      <c r="AC98" s="286">
        <f t="shared" si="19"/>
        <v>0.1586198243412798</v>
      </c>
      <c r="AD98" s="286">
        <f t="shared" si="15"/>
        <v>0.05656210790464242</v>
      </c>
      <c r="AE98" s="286" t="str">
        <f t="shared" si="16"/>
        <v>N/A</v>
      </c>
    </row>
    <row r="99" spans="1:31" ht="12.75">
      <c r="A99" t="s">
        <v>25</v>
      </c>
      <c r="B99" s="6" t="s">
        <v>28</v>
      </c>
      <c r="C99" s="157" t="s">
        <v>387</v>
      </c>
      <c r="D99" s="62"/>
      <c r="E99" s="157" t="s">
        <v>387</v>
      </c>
      <c r="F99" s="62"/>
      <c r="G99" s="157" t="s">
        <v>387</v>
      </c>
      <c r="H99" s="62"/>
      <c r="I99" s="157" t="s">
        <v>387</v>
      </c>
      <c r="J99" s="62"/>
      <c r="K99" s="157" t="s">
        <v>387</v>
      </c>
      <c r="L99" s="62"/>
      <c r="M99" s="41" t="s">
        <v>410</v>
      </c>
      <c r="N99" s="276">
        <v>3.42</v>
      </c>
      <c r="O99" s="278">
        <v>0.73</v>
      </c>
      <c r="P99" s="162">
        <f t="shared" si="20"/>
        <v>2</v>
      </c>
      <c r="Q99" s="162">
        <f t="shared" si="21"/>
        <v>0</v>
      </c>
      <c r="R99" s="275">
        <v>101.86</v>
      </c>
      <c r="S99" s="275">
        <v>90.66</v>
      </c>
      <c r="T99" s="275">
        <v>0</v>
      </c>
      <c r="U99" s="162">
        <f t="shared" si="12"/>
        <v>1</v>
      </c>
      <c r="V99" s="162">
        <f>IF(S99="N/A","N/A",IF(S99&gt;=$W$129,$X$129,IF(S99&gt;=$W$130,$X$130,0)))</f>
        <v>1</v>
      </c>
      <c r="W99" s="162">
        <f t="shared" si="17"/>
        <v>0</v>
      </c>
      <c r="X99" s="83">
        <f t="shared" si="18"/>
        <v>0</v>
      </c>
      <c r="AC99" s="286">
        <f t="shared" si="19"/>
        <v>0.8946298619824342</v>
      </c>
      <c r="AD99" s="286">
        <f t="shared" si="15"/>
        <v>0.6967283563362611</v>
      </c>
      <c r="AE99" s="286">
        <f t="shared" si="16"/>
        <v>0</v>
      </c>
    </row>
    <row r="100" spans="1:31" ht="12.75">
      <c r="A100" t="s">
        <v>156</v>
      </c>
      <c r="B100" s="8" t="s">
        <v>158</v>
      </c>
      <c r="C100" s="161" t="s">
        <v>453</v>
      </c>
      <c r="D100" s="62"/>
      <c r="E100" s="161" t="s">
        <v>453</v>
      </c>
      <c r="F100" s="62"/>
      <c r="G100" s="161" t="s">
        <v>453</v>
      </c>
      <c r="H100" s="62"/>
      <c r="I100" s="161" t="s">
        <v>453</v>
      </c>
      <c r="J100" s="62"/>
      <c r="K100" s="161" t="s">
        <v>453</v>
      </c>
      <c r="L100" s="62"/>
      <c r="M100" s="41" t="s">
        <v>410</v>
      </c>
      <c r="N100" s="276">
        <v>1.96</v>
      </c>
      <c r="O100" s="278">
        <v>0.98</v>
      </c>
      <c r="P100" s="162">
        <f t="shared" si="20"/>
        <v>2</v>
      </c>
      <c r="Q100" s="162">
        <f t="shared" si="21"/>
        <v>1</v>
      </c>
      <c r="R100" s="275">
        <v>141.53</v>
      </c>
      <c r="S100" s="275">
        <v>93.96</v>
      </c>
      <c r="T100" s="275">
        <v>52.39</v>
      </c>
      <c r="U100" s="162">
        <f t="shared" si="12"/>
        <v>2</v>
      </c>
      <c r="V100" s="162">
        <f aca="true" t="shared" si="22" ref="V100:V117">IF(S100="N/A","N/A",IF(S100&gt;=$W$129,$X$129,IF(S100&gt;=$W$130,$X$130,0)))</f>
        <v>1</v>
      </c>
      <c r="W100" s="162">
        <f t="shared" si="17"/>
        <v>1</v>
      </c>
      <c r="X100" s="83">
        <f t="shared" si="18"/>
        <v>30</v>
      </c>
      <c r="AC100" s="286">
        <f t="shared" si="19"/>
        <v>1.2430489335006276</v>
      </c>
      <c r="AD100" s="286">
        <f t="shared" si="15"/>
        <v>0.7220890840652446</v>
      </c>
      <c r="AE100" s="286">
        <f t="shared" si="16"/>
        <v>0.402620765370138</v>
      </c>
    </row>
    <row r="101" spans="1:31" ht="12.75">
      <c r="A101" t="s">
        <v>88</v>
      </c>
      <c r="B101" s="7" t="s">
        <v>90</v>
      </c>
      <c r="C101" s="157" t="s">
        <v>477</v>
      </c>
      <c r="D101" s="62"/>
      <c r="E101" s="157" t="s">
        <v>477</v>
      </c>
      <c r="F101" s="62"/>
      <c r="G101" s="157" t="s">
        <v>477</v>
      </c>
      <c r="H101" s="62"/>
      <c r="I101" s="157" t="s">
        <v>477</v>
      </c>
      <c r="J101" s="62"/>
      <c r="K101" s="157" t="s">
        <v>477</v>
      </c>
      <c r="L101" s="62"/>
      <c r="M101" s="41" t="s">
        <v>410</v>
      </c>
      <c r="N101" s="276">
        <v>0.81</v>
      </c>
      <c r="O101" s="278">
        <v>0.94</v>
      </c>
      <c r="P101" s="162">
        <f t="shared" si="20"/>
        <v>1</v>
      </c>
      <c r="Q101" s="162">
        <f t="shared" si="21"/>
        <v>1</v>
      </c>
      <c r="R101" s="275">
        <v>69.87</v>
      </c>
      <c r="S101" s="275">
        <v>52.67</v>
      </c>
      <c r="T101" s="276" t="s">
        <v>579</v>
      </c>
      <c r="U101" s="162">
        <f aca="true" t="shared" si="23" ref="U101:U117">IF(M101="One-Zone",IF(R101&gt;$W$125,$X$125,IF(R101&gt;$W$127,$X$127,0)),IF(R101&gt;$W$126,$X$126,IF(R101&gt;$W$128,$X$128,0)))</f>
        <v>1</v>
      </c>
      <c r="V101" s="162">
        <f t="shared" si="22"/>
        <v>0</v>
      </c>
      <c r="W101" s="162" t="str">
        <f t="shared" si="17"/>
        <v>N/A</v>
      </c>
      <c r="X101" s="83" t="str">
        <f t="shared" si="18"/>
        <v>N/A</v>
      </c>
      <c r="AC101" s="286">
        <f t="shared" si="19"/>
        <v>0.6136637390213302</v>
      </c>
      <c r="AD101" s="286">
        <f t="shared" si="15"/>
        <v>0.40477258469259725</v>
      </c>
      <c r="AE101" s="286" t="str">
        <f t="shared" si="16"/>
        <v>N/A</v>
      </c>
    </row>
    <row r="102" spans="1:31" ht="12.75">
      <c r="A102" t="s">
        <v>200</v>
      </c>
      <c r="B102" s="6">
        <v>71</v>
      </c>
      <c r="C102" s="157" t="s">
        <v>603</v>
      </c>
      <c r="D102" s="62"/>
      <c r="E102" s="157" t="s">
        <v>603</v>
      </c>
      <c r="F102" s="62"/>
      <c r="G102" s="157" t="s">
        <v>603</v>
      </c>
      <c r="H102" s="62"/>
      <c r="I102" s="157" t="s">
        <v>603</v>
      </c>
      <c r="J102" s="62"/>
      <c r="K102" s="157" t="s">
        <v>603</v>
      </c>
      <c r="L102" s="62"/>
      <c r="M102" s="41" t="s">
        <v>410</v>
      </c>
      <c r="N102" s="276">
        <v>0.69</v>
      </c>
      <c r="O102" s="278">
        <v>0.51</v>
      </c>
      <c r="P102" s="162">
        <f t="shared" si="20"/>
        <v>0</v>
      </c>
      <c r="Q102" s="162">
        <f t="shared" si="21"/>
        <v>0</v>
      </c>
      <c r="R102" s="275">
        <v>32.34</v>
      </c>
      <c r="S102" s="275">
        <v>35.59</v>
      </c>
      <c r="T102" s="275">
        <v>23.23</v>
      </c>
      <c r="U102" s="162">
        <f t="shared" si="23"/>
        <v>0</v>
      </c>
      <c r="V102" s="162">
        <f t="shared" si="22"/>
        <v>0</v>
      </c>
      <c r="W102" s="162">
        <f t="shared" si="17"/>
        <v>0</v>
      </c>
      <c r="X102" s="83">
        <f t="shared" si="18"/>
        <v>30</v>
      </c>
      <c r="AC102" s="286">
        <f t="shared" si="19"/>
        <v>0.28404015056461734</v>
      </c>
      <c r="AD102" s="286">
        <f t="shared" si="15"/>
        <v>0.2735116060225847</v>
      </c>
      <c r="AE102" s="286">
        <f t="shared" si="16"/>
        <v>0.1785241530740276</v>
      </c>
    </row>
    <row r="103" spans="1:31" ht="12.75">
      <c r="A103" t="s">
        <v>264</v>
      </c>
      <c r="B103" s="6">
        <v>68</v>
      </c>
      <c r="C103" s="157" t="s">
        <v>389</v>
      </c>
      <c r="D103" s="62"/>
      <c r="E103" s="157" t="s">
        <v>389</v>
      </c>
      <c r="F103" s="62"/>
      <c r="G103" s="157" t="s">
        <v>389</v>
      </c>
      <c r="H103" s="62"/>
      <c r="I103" s="157" t="s">
        <v>389</v>
      </c>
      <c r="J103" s="62"/>
      <c r="K103" s="157" t="s">
        <v>389</v>
      </c>
      <c r="L103" s="62"/>
      <c r="M103" s="41" t="s">
        <v>410</v>
      </c>
      <c r="N103" s="276">
        <v>1.74</v>
      </c>
      <c r="O103" s="278">
        <v>1.64</v>
      </c>
      <c r="P103" s="162">
        <f t="shared" si="20"/>
        <v>2</v>
      </c>
      <c r="Q103" s="162">
        <f t="shared" si="21"/>
        <v>2</v>
      </c>
      <c r="R103" s="275">
        <v>226.69</v>
      </c>
      <c r="S103" s="275">
        <v>123.55</v>
      </c>
      <c r="T103" s="276" t="s">
        <v>579</v>
      </c>
      <c r="U103" s="162">
        <f t="shared" si="23"/>
        <v>2</v>
      </c>
      <c r="V103" s="162">
        <f t="shared" si="22"/>
        <v>1</v>
      </c>
      <c r="W103" s="162" t="str">
        <f t="shared" si="17"/>
        <v>N/A</v>
      </c>
      <c r="X103" s="83" t="str">
        <f t="shared" si="18"/>
        <v>N/A</v>
      </c>
      <c r="AC103" s="286">
        <f t="shared" si="19"/>
        <v>1.991003764115433</v>
      </c>
      <c r="AD103" s="286">
        <f t="shared" si="15"/>
        <v>0.9494902760351317</v>
      </c>
      <c r="AE103" s="286" t="str">
        <f t="shared" si="16"/>
        <v>N/A</v>
      </c>
    </row>
    <row r="104" spans="1:31" ht="12.75">
      <c r="A104" t="s">
        <v>259</v>
      </c>
      <c r="B104" s="6">
        <v>373</v>
      </c>
      <c r="C104" s="157">
        <v>373</v>
      </c>
      <c r="D104" s="62"/>
      <c r="E104" s="157">
        <v>373</v>
      </c>
      <c r="F104" s="62"/>
      <c r="G104" s="161" t="s">
        <v>577</v>
      </c>
      <c r="H104" s="62"/>
      <c r="I104" s="157">
        <v>373</v>
      </c>
      <c r="J104" s="62"/>
      <c r="K104" s="157">
        <v>373</v>
      </c>
      <c r="L104" s="62"/>
      <c r="M104" s="41" t="s">
        <v>414</v>
      </c>
      <c r="N104" s="276">
        <v>3.36</v>
      </c>
      <c r="O104" s="277" t="s">
        <v>579</v>
      </c>
      <c r="P104" s="162">
        <f t="shared" si="20"/>
        <v>2</v>
      </c>
      <c r="Q104" s="162" t="str">
        <f t="shared" si="21"/>
        <v>N/A</v>
      </c>
      <c r="R104" s="275">
        <v>117.71</v>
      </c>
      <c r="S104" s="277" t="s">
        <v>579</v>
      </c>
      <c r="T104" s="277" t="s">
        <v>579</v>
      </c>
      <c r="U104" s="162">
        <f t="shared" si="23"/>
        <v>2</v>
      </c>
      <c r="V104" s="162" t="str">
        <f t="shared" si="22"/>
        <v>N/A</v>
      </c>
      <c r="W104" s="162" t="str">
        <f t="shared" si="17"/>
        <v>N/A</v>
      </c>
      <c r="X104" s="83" t="str">
        <f t="shared" si="18"/>
        <v>N/A</v>
      </c>
      <c r="AC104" s="286">
        <f t="shared" si="19"/>
        <v>1.199992158092848</v>
      </c>
      <c r="AD104" s="286" t="str">
        <f t="shared" si="15"/>
        <v>N/A</v>
      </c>
      <c r="AE104" s="286" t="str">
        <f t="shared" si="16"/>
        <v>N/A</v>
      </c>
    </row>
    <row r="105" spans="1:31" ht="12.75">
      <c r="A105" t="s">
        <v>203</v>
      </c>
      <c r="B105" s="6">
        <v>330</v>
      </c>
      <c r="C105" s="157">
        <v>330</v>
      </c>
      <c r="D105" s="62"/>
      <c r="E105" s="157">
        <v>330</v>
      </c>
      <c r="F105" s="62"/>
      <c r="G105" s="157" t="s">
        <v>578</v>
      </c>
      <c r="H105" s="62"/>
      <c r="I105" s="157">
        <v>330</v>
      </c>
      <c r="J105" s="62"/>
      <c r="K105" s="157">
        <v>330</v>
      </c>
      <c r="L105" s="62"/>
      <c r="M105" s="41" t="s">
        <v>414</v>
      </c>
      <c r="N105" s="276">
        <v>0.88</v>
      </c>
      <c r="O105" s="277" t="s">
        <v>579</v>
      </c>
      <c r="P105" s="162">
        <f t="shared" si="20"/>
        <v>1</v>
      </c>
      <c r="Q105" s="162" t="str">
        <f t="shared" si="21"/>
        <v>N/A</v>
      </c>
      <c r="R105" s="275">
        <v>45.61</v>
      </c>
      <c r="S105" s="277" t="s">
        <v>579</v>
      </c>
      <c r="T105" s="277" t="s">
        <v>579</v>
      </c>
      <c r="U105" s="162">
        <f t="shared" si="23"/>
        <v>0</v>
      </c>
      <c r="V105" s="162" t="str">
        <f t="shared" si="22"/>
        <v>N/A</v>
      </c>
      <c r="W105" s="162" t="str">
        <f t="shared" si="17"/>
        <v>N/A</v>
      </c>
      <c r="X105" s="83" t="str">
        <f t="shared" si="18"/>
        <v>N/A</v>
      </c>
      <c r="AC105" s="286">
        <f t="shared" si="19"/>
        <v>0.4649702007528231</v>
      </c>
      <c r="AD105" s="286" t="str">
        <f t="shared" si="15"/>
        <v>N/A</v>
      </c>
      <c r="AE105" s="286" t="str">
        <f t="shared" si="16"/>
        <v>N/A</v>
      </c>
    </row>
    <row r="106" spans="1:31" ht="12.75">
      <c r="A106" t="s">
        <v>266</v>
      </c>
      <c r="B106" s="6">
        <v>28</v>
      </c>
      <c r="C106" s="161" t="s">
        <v>607</v>
      </c>
      <c r="D106" s="62"/>
      <c r="E106" s="161" t="s">
        <v>607</v>
      </c>
      <c r="F106" s="62"/>
      <c r="G106" s="161" t="s">
        <v>607</v>
      </c>
      <c r="H106" s="62"/>
      <c r="I106" s="161" t="s">
        <v>607</v>
      </c>
      <c r="J106" s="62"/>
      <c r="K106" s="161" t="s">
        <v>607</v>
      </c>
      <c r="L106" s="62"/>
      <c r="M106" s="41" t="s">
        <v>410</v>
      </c>
      <c r="N106" s="276">
        <v>0.26</v>
      </c>
      <c r="O106" s="278">
        <v>0.48</v>
      </c>
      <c r="P106" s="162">
        <f t="shared" si="20"/>
        <v>0</v>
      </c>
      <c r="Q106" s="162">
        <f t="shared" si="21"/>
        <v>0</v>
      </c>
      <c r="R106" s="275">
        <v>45.68</v>
      </c>
      <c r="S106" s="276" t="s">
        <v>579</v>
      </c>
      <c r="T106" s="276" t="s">
        <v>579</v>
      </c>
      <c r="U106" s="162">
        <f t="shared" si="23"/>
        <v>0</v>
      </c>
      <c r="V106" s="162" t="str">
        <f t="shared" si="22"/>
        <v>N/A</v>
      </c>
      <c r="W106" s="162" t="str">
        <f t="shared" si="17"/>
        <v>N/A</v>
      </c>
      <c r="X106" s="83" t="str">
        <f t="shared" si="18"/>
        <v>N/A</v>
      </c>
      <c r="AC106" s="286">
        <f t="shared" si="19"/>
        <v>0.4012045169385195</v>
      </c>
      <c r="AD106" s="286" t="str">
        <f t="shared" si="15"/>
        <v>N/A</v>
      </c>
      <c r="AE106" s="286" t="str">
        <f t="shared" si="16"/>
        <v>N/A</v>
      </c>
    </row>
    <row r="107" spans="1:31" ht="12.75">
      <c r="A107" t="s">
        <v>205</v>
      </c>
      <c r="B107" s="6">
        <v>5</v>
      </c>
      <c r="C107" s="161" t="s">
        <v>609</v>
      </c>
      <c r="D107" s="62"/>
      <c r="E107" s="161" t="s">
        <v>609</v>
      </c>
      <c r="F107" s="62"/>
      <c r="G107" s="161" t="s">
        <v>609</v>
      </c>
      <c r="H107" s="62"/>
      <c r="I107" s="161" t="s">
        <v>609</v>
      </c>
      <c r="J107" s="62"/>
      <c r="K107" s="161" t="s">
        <v>609</v>
      </c>
      <c r="L107" s="62"/>
      <c r="M107" s="41" t="s">
        <v>414</v>
      </c>
      <c r="N107" s="276">
        <v>0.65</v>
      </c>
      <c r="O107" s="278">
        <v>0.52</v>
      </c>
      <c r="P107" s="162">
        <f t="shared" si="20"/>
        <v>0</v>
      </c>
      <c r="Q107" s="162">
        <f t="shared" si="21"/>
        <v>0</v>
      </c>
      <c r="R107" s="275">
        <v>38.6</v>
      </c>
      <c r="S107" s="275">
        <v>43.66</v>
      </c>
      <c r="T107" s="275">
        <v>13.34</v>
      </c>
      <c r="U107" s="162">
        <f t="shared" si="23"/>
        <v>0</v>
      </c>
      <c r="V107" s="162">
        <f t="shared" si="22"/>
        <v>0</v>
      </c>
      <c r="W107" s="162">
        <f t="shared" si="17"/>
        <v>0</v>
      </c>
      <c r="X107" s="83">
        <f t="shared" si="18"/>
        <v>60</v>
      </c>
      <c r="AC107" s="286">
        <f t="shared" si="19"/>
        <v>0.39350690087829365</v>
      </c>
      <c r="AD107" s="286">
        <f t="shared" si="15"/>
        <v>0.33553011292346296</v>
      </c>
      <c r="AE107" s="286">
        <f t="shared" si="16"/>
        <v>0.10251882057716437</v>
      </c>
    </row>
    <row r="108" spans="1:31" ht="12.75">
      <c r="A108" t="s">
        <v>317</v>
      </c>
      <c r="B108" s="6">
        <v>118</v>
      </c>
      <c r="C108" s="157" t="s">
        <v>515</v>
      </c>
      <c r="D108" s="62"/>
      <c r="E108" s="169" t="s">
        <v>515</v>
      </c>
      <c r="F108" s="62"/>
      <c r="G108" s="157" t="s">
        <v>515</v>
      </c>
      <c r="H108" s="62"/>
      <c r="I108" s="157" t="s">
        <v>515</v>
      </c>
      <c r="J108" s="62"/>
      <c r="K108" s="157" t="s">
        <v>515</v>
      </c>
      <c r="L108" s="62"/>
      <c r="M108" s="41" t="s">
        <v>410</v>
      </c>
      <c r="N108" s="276">
        <v>0.43</v>
      </c>
      <c r="O108" s="278">
        <v>0.12</v>
      </c>
      <c r="P108" s="162">
        <f t="shared" si="20"/>
        <v>0</v>
      </c>
      <c r="Q108" s="162">
        <f t="shared" si="21"/>
        <v>0</v>
      </c>
      <c r="R108" s="275">
        <v>21.68</v>
      </c>
      <c r="S108" s="277" t="s">
        <v>579</v>
      </c>
      <c r="T108" s="277" t="s">
        <v>579</v>
      </c>
      <c r="U108" s="162">
        <f t="shared" si="23"/>
        <v>0</v>
      </c>
      <c r="V108" s="162" t="str">
        <f t="shared" si="22"/>
        <v>N/A</v>
      </c>
      <c r="W108" s="162" t="str">
        <f t="shared" si="17"/>
        <v>N/A</v>
      </c>
      <c r="X108" s="83" t="str">
        <f t="shared" si="18"/>
        <v>N/A</v>
      </c>
      <c r="AC108" s="286">
        <f t="shared" si="19"/>
        <v>0.19041405269761608</v>
      </c>
      <c r="AD108" s="286" t="str">
        <f t="shared" si="15"/>
        <v>N/A</v>
      </c>
      <c r="AE108" s="286" t="str">
        <f t="shared" si="16"/>
        <v>N/A</v>
      </c>
    </row>
    <row r="109" spans="1:31" ht="12.75">
      <c r="A109" t="s">
        <v>320</v>
      </c>
      <c r="B109" s="6">
        <v>917</v>
      </c>
      <c r="C109" s="157" t="s">
        <v>526</v>
      </c>
      <c r="D109" s="62"/>
      <c r="E109" s="157" t="s">
        <v>526</v>
      </c>
      <c r="F109" s="62"/>
      <c r="G109" s="157" t="s">
        <v>526</v>
      </c>
      <c r="H109" s="62"/>
      <c r="I109" s="157" t="s">
        <v>526</v>
      </c>
      <c r="J109" s="62"/>
      <c r="K109" s="157" t="s">
        <v>526</v>
      </c>
      <c r="L109" s="62"/>
      <c r="M109" s="41" t="s">
        <v>410</v>
      </c>
      <c r="N109" s="276">
        <v>0.51</v>
      </c>
      <c r="O109" s="278">
        <v>0.43</v>
      </c>
      <c r="P109" s="162">
        <f t="shared" si="20"/>
        <v>0</v>
      </c>
      <c r="Q109" s="162">
        <f t="shared" si="21"/>
        <v>0</v>
      </c>
      <c r="R109" s="275">
        <v>7.26</v>
      </c>
      <c r="S109" s="275">
        <v>6.4</v>
      </c>
      <c r="T109" s="276" t="s">
        <v>579</v>
      </c>
      <c r="U109" s="162">
        <f t="shared" si="23"/>
        <v>0</v>
      </c>
      <c r="V109" s="162">
        <f t="shared" si="22"/>
        <v>0</v>
      </c>
      <c r="W109" s="162" t="str">
        <f t="shared" si="17"/>
        <v>N/A</v>
      </c>
      <c r="X109" s="83" t="str">
        <f t="shared" si="18"/>
        <v>N/A</v>
      </c>
      <c r="AC109" s="286">
        <f t="shared" si="19"/>
        <v>0.06376411543287328</v>
      </c>
      <c r="AD109" s="286">
        <f t="shared" si="15"/>
        <v>0.049184441656210796</v>
      </c>
      <c r="AE109" s="286" t="str">
        <f t="shared" si="16"/>
        <v>N/A</v>
      </c>
    </row>
    <row r="110" spans="1:31" ht="12.75">
      <c r="A110" t="s">
        <v>143</v>
      </c>
      <c r="B110" s="10">
        <v>75</v>
      </c>
      <c r="C110" s="157" t="s">
        <v>471</v>
      </c>
      <c r="D110" s="62"/>
      <c r="E110" s="157" t="s">
        <v>471</v>
      </c>
      <c r="F110" s="62"/>
      <c r="G110" s="157" t="s">
        <v>471</v>
      </c>
      <c r="H110" s="62"/>
      <c r="I110" s="157" t="s">
        <v>471</v>
      </c>
      <c r="J110" s="62"/>
      <c r="K110" s="157" t="s">
        <v>471</v>
      </c>
      <c r="L110" s="62"/>
      <c r="M110" s="41" t="s">
        <v>410</v>
      </c>
      <c r="N110" s="276">
        <v>0.86</v>
      </c>
      <c r="O110" s="278">
        <v>0.67</v>
      </c>
      <c r="P110" s="162">
        <f t="shared" si="20"/>
        <v>1</v>
      </c>
      <c r="Q110" s="162">
        <f t="shared" si="21"/>
        <v>0</v>
      </c>
      <c r="R110" s="275">
        <v>22.06</v>
      </c>
      <c r="S110" s="275">
        <v>41.7</v>
      </c>
      <c r="T110" s="275">
        <v>23.31</v>
      </c>
      <c r="U110" s="162">
        <f t="shared" si="23"/>
        <v>0</v>
      </c>
      <c r="V110" s="162">
        <f t="shared" si="22"/>
        <v>0</v>
      </c>
      <c r="W110" s="162">
        <f t="shared" si="17"/>
        <v>0</v>
      </c>
      <c r="X110" s="83">
        <f t="shared" si="18"/>
        <v>30</v>
      </c>
      <c r="AC110" s="286">
        <f t="shared" si="19"/>
        <v>0.19375156838143037</v>
      </c>
      <c r="AD110" s="286">
        <f t="shared" si="15"/>
        <v>0.32046737766624844</v>
      </c>
      <c r="AE110" s="286">
        <f t="shared" si="16"/>
        <v>0.17913895859473022</v>
      </c>
    </row>
    <row r="111" spans="1:31" ht="12.75">
      <c r="A111" t="s">
        <v>145</v>
      </c>
      <c r="B111" s="7">
        <v>65</v>
      </c>
      <c r="C111" s="157" t="s">
        <v>504</v>
      </c>
      <c r="D111" s="62"/>
      <c r="E111" s="157" t="s">
        <v>504</v>
      </c>
      <c r="F111" s="62"/>
      <c r="G111" s="157" t="s">
        <v>504</v>
      </c>
      <c r="H111" s="62"/>
      <c r="I111" s="157" t="s">
        <v>504</v>
      </c>
      <c r="J111" s="62"/>
      <c r="K111" s="157" t="s">
        <v>504</v>
      </c>
      <c r="L111" s="62"/>
      <c r="M111" s="41" t="s">
        <v>410</v>
      </c>
      <c r="N111" s="276">
        <v>1.38</v>
      </c>
      <c r="O111" s="278">
        <v>0.59</v>
      </c>
      <c r="P111" s="162">
        <f t="shared" si="20"/>
        <v>1</v>
      </c>
      <c r="Q111" s="162">
        <f t="shared" si="21"/>
        <v>0</v>
      </c>
      <c r="R111" s="275">
        <v>93.04</v>
      </c>
      <c r="S111" s="275">
        <v>39.54</v>
      </c>
      <c r="T111" s="275">
        <v>22.37</v>
      </c>
      <c r="U111" s="162">
        <f t="shared" si="23"/>
        <v>1</v>
      </c>
      <c r="V111" s="162">
        <f t="shared" si="22"/>
        <v>0</v>
      </c>
      <c r="W111" s="162">
        <f t="shared" si="17"/>
        <v>0</v>
      </c>
      <c r="X111" s="83">
        <f t="shared" si="18"/>
        <v>30</v>
      </c>
      <c r="AC111" s="286">
        <f t="shared" si="19"/>
        <v>0.8171643663739023</v>
      </c>
      <c r="AD111" s="286">
        <f t="shared" si="15"/>
        <v>0.30386762860727734</v>
      </c>
      <c r="AE111" s="286">
        <f t="shared" si="16"/>
        <v>0.17191499372647429</v>
      </c>
    </row>
    <row r="112" spans="1:31" ht="12.75">
      <c r="A112" t="s">
        <v>31</v>
      </c>
      <c r="B112" s="8" t="s">
        <v>33</v>
      </c>
      <c r="C112" s="157" t="s">
        <v>461</v>
      </c>
      <c r="D112" s="157" t="s">
        <v>456</v>
      </c>
      <c r="E112" s="157" t="s">
        <v>461</v>
      </c>
      <c r="F112" s="62"/>
      <c r="G112" s="157" t="s">
        <v>461</v>
      </c>
      <c r="H112" s="62"/>
      <c r="I112" s="157" t="s">
        <v>461</v>
      </c>
      <c r="J112" s="62"/>
      <c r="K112" s="157" t="s">
        <v>461</v>
      </c>
      <c r="L112" s="62"/>
      <c r="M112" s="41" t="s">
        <v>410</v>
      </c>
      <c r="N112" s="276">
        <v>0.76</v>
      </c>
      <c r="O112" s="278">
        <v>0.89</v>
      </c>
      <c r="P112" s="162">
        <f t="shared" si="20"/>
        <v>0</v>
      </c>
      <c r="Q112" s="162">
        <f t="shared" si="21"/>
        <v>1</v>
      </c>
      <c r="R112" s="275">
        <v>57.37</v>
      </c>
      <c r="S112" s="275">
        <v>89.66</v>
      </c>
      <c r="T112" s="275">
        <v>38.32</v>
      </c>
      <c r="U112" s="162">
        <f t="shared" si="23"/>
        <v>1</v>
      </c>
      <c r="V112" s="162">
        <f t="shared" si="22"/>
        <v>1</v>
      </c>
      <c r="W112" s="162">
        <f t="shared" si="17"/>
        <v>0</v>
      </c>
      <c r="X112" s="83">
        <f t="shared" si="18"/>
        <v>30</v>
      </c>
      <c r="AC112" s="286">
        <f t="shared" si="19"/>
        <v>0.5038770388958596</v>
      </c>
      <c r="AD112" s="286">
        <f t="shared" si="15"/>
        <v>0.689043287327478</v>
      </c>
      <c r="AE112" s="286">
        <f t="shared" si="16"/>
        <v>0.2944918444165621</v>
      </c>
    </row>
    <row r="113" spans="1:31" ht="12.75">
      <c r="A113" t="s">
        <v>269</v>
      </c>
      <c r="B113" s="7">
        <v>30</v>
      </c>
      <c r="C113" s="157" t="s">
        <v>489</v>
      </c>
      <c r="D113" s="62"/>
      <c r="E113" s="157" t="s">
        <v>489</v>
      </c>
      <c r="F113" s="62"/>
      <c r="G113" s="157" t="s">
        <v>489</v>
      </c>
      <c r="H113" s="62"/>
      <c r="I113" s="157" t="s">
        <v>489</v>
      </c>
      <c r="J113" s="62"/>
      <c r="K113" s="157" t="s">
        <v>597</v>
      </c>
      <c r="L113" s="62"/>
      <c r="M113" s="41" t="s">
        <v>410</v>
      </c>
      <c r="N113" s="276">
        <v>1.36</v>
      </c>
      <c r="O113" s="278">
        <v>1.22</v>
      </c>
      <c r="P113" s="162">
        <f t="shared" si="20"/>
        <v>1</v>
      </c>
      <c r="Q113" s="162">
        <f t="shared" si="21"/>
        <v>1</v>
      </c>
      <c r="R113" s="275">
        <v>68.79</v>
      </c>
      <c r="S113" s="275">
        <v>57.74</v>
      </c>
      <c r="T113" s="275">
        <v>24.99</v>
      </c>
      <c r="U113" s="162">
        <f t="shared" si="23"/>
        <v>1</v>
      </c>
      <c r="V113" s="162">
        <f t="shared" si="22"/>
        <v>0</v>
      </c>
      <c r="W113" s="162">
        <f>IF(T113="N/A","N/A",IF(T113&gt;=$W$131,$X$131,IF(T113&gt;=$W$132,$X$132,0)))</f>
        <v>0</v>
      </c>
      <c r="X113" s="83">
        <f t="shared" si="18"/>
        <v>30</v>
      </c>
      <c r="AC113" s="286">
        <f t="shared" si="19"/>
        <v>0.6041781681304894</v>
      </c>
      <c r="AD113" s="286">
        <f t="shared" si="15"/>
        <v>0.44373588456712676</v>
      </c>
      <c r="AE113" s="286">
        <f t="shared" si="16"/>
        <v>0.19204987452948555</v>
      </c>
    </row>
    <row r="114" spans="1:31" ht="12.75">
      <c r="A114" t="s">
        <v>42</v>
      </c>
      <c r="B114" s="10">
        <v>44</v>
      </c>
      <c r="C114" s="157" t="s">
        <v>452</v>
      </c>
      <c r="D114" s="62"/>
      <c r="E114" s="157" t="s">
        <v>452</v>
      </c>
      <c r="F114" s="62"/>
      <c r="G114" s="157" t="s">
        <v>452</v>
      </c>
      <c r="H114" s="62"/>
      <c r="I114" s="157" t="s">
        <v>452</v>
      </c>
      <c r="J114" s="62"/>
      <c r="K114" s="157" t="s">
        <v>452</v>
      </c>
      <c r="L114" s="62"/>
      <c r="M114" s="41" t="s">
        <v>410</v>
      </c>
      <c r="N114" s="276">
        <v>1.78</v>
      </c>
      <c r="O114" s="278">
        <v>0.57</v>
      </c>
      <c r="P114" s="162">
        <f t="shared" si="20"/>
        <v>2</v>
      </c>
      <c r="Q114" s="162">
        <f t="shared" si="21"/>
        <v>0</v>
      </c>
      <c r="R114" s="275">
        <v>64.38</v>
      </c>
      <c r="S114" s="275">
        <v>88.76</v>
      </c>
      <c r="T114" s="275">
        <v>59.53</v>
      </c>
      <c r="U114" s="162">
        <f t="shared" si="23"/>
        <v>1</v>
      </c>
      <c r="V114" s="162">
        <f t="shared" si="22"/>
        <v>1</v>
      </c>
      <c r="W114" s="162">
        <f t="shared" si="17"/>
        <v>1</v>
      </c>
      <c r="X114" s="83">
        <f t="shared" si="18"/>
        <v>30</v>
      </c>
      <c r="AC114" s="286">
        <f t="shared" si="19"/>
        <v>0.5654454203262234</v>
      </c>
      <c r="AD114" s="286">
        <f t="shared" si="15"/>
        <v>0.6821267252195735</v>
      </c>
      <c r="AE114" s="286">
        <f t="shared" si="16"/>
        <v>0.45749215809284816</v>
      </c>
    </row>
    <row r="115" spans="1:31" ht="12.75">
      <c r="A115" t="s">
        <v>56</v>
      </c>
      <c r="B115" s="7">
        <v>24</v>
      </c>
      <c r="C115" s="157" t="s">
        <v>493</v>
      </c>
      <c r="D115" s="62"/>
      <c r="E115" s="157" t="s">
        <v>493</v>
      </c>
      <c r="F115" s="62"/>
      <c r="G115" s="157" t="s">
        <v>493</v>
      </c>
      <c r="H115" s="62"/>
      <c r="I115" s="157" t="s">
        <v>493</v>
      </c>
      <c r="J115" s="62"/>
      <c r="K115" s="157" t="s">
        <v>493</v>
      </c>
      <c r="L115" s="62"/>
      <c r="M115" s="41" t="s">
        <v>410</v>
      </c>
      <c r="N115" s="276">
        <v>0.7</v>
      </c>
      <c r="O115" s="278">
        <v>0.43</v>
      </c>
      <c r="P115" s="162">
        <f t="shared" si="20"/>
        <v>0</v>
      </c>
      <c r="Q115" s="162">
        <f t="shared" si="21"/>
        <v>0</v>
      </c>
      <c r="R115" s="275">
        <v>42.26</v>
      </c>
      <c r="S115" s="275">
        <v>31.36</v>
      </c>
      <c r="T115" s="275">
        <v>13.5</v>
      </c>
      <c r="U115" s="162">
        <f t="shared" si="23"/>
        <v>0</v>
      </c>
      <c r="V115" s="162">
        <f t="shared" si="22"/>
        <v>0</v>
      </c>
      <c r="W115" s="162">
        <f t="shared" si="17"/>
        <v>0</v>
      </c>
      <c r="X115" s="83">
        <f t="shared" si="18"/>
        <v>60</v>
      </c>
      <c r="AC115" s="286">
        <f t="shared" si="19"/>
        <v>0.3711668757841907</v>
      </c>
      <c r="AD115" s="286">
        <f t="shared" si="15"/>
        <v>0.24100376411543287</v>
      </c>
      <c r="AE115" s="286">
        <f t="shared" si="16"/>
        <v>0.10374843161856964</v>
      </c>
    </row>
    <row r="116" spans="1:31" ht="12.75">
      <c r="A116" t="s">
        <v>69</v>
      </c>
      <c r="B116" s="10">
        <v>36</v>
      </c>
      <c r="C116" s="157" t="s">
        <v>440</v>
      </c>
      <c r="D116" s="62"/>
      <c r="E116" s="157" t="s">
        <v>440</v>
      </c>
      <c r="F116" s="62"/>
      <c r="G116" s="157" t="s">
        <v>440</v>
      </c>
      <c r="H116" s="62"/>
      <c r="I116" s="157" t="s">
        <v>440</v>
      </c>
      <c r="J116" s="62"/>
      <c r="K116" s="157" t="s">
        <v>440</v>
      </c>
      <c r="L116" s="62"/>
      <c r="M116" s="41" t="s">
        <v>410</v>
      </c>
      <c r="N116" s="276">
        <v>1.43</v>
      </c>
      <c r="O116" s="278">
        <v>1.91</v>
      </c>
      <c r="P116" s="162">
        <f t="shared" si="20"/>
        <v>1</v>
      </c>
      <c r="Q116" s="162">
        <f t="shared" si="21"/>
        <v>2</v>
      </c>
      <c r="R116" s="275">
        <v>74.05</v>
      </c>
      <c r="S116" s="275">
        <v>140.09</v>
      </c>
      <c r="T116" s="275">
        <v>39.56</v>
      </c>
      <c r="U116" s="162">
        <f t="shared" si="23"/>
        <v>1</v>
      </c>
      <c r="V116" s="162">
        <f t="shared" si="22"/>
        <v>2</v>
      </c>
      <c r="W116" s="162">
        <f t="shared" si="17"/>
        <v>0</v>
      </c>
      <c r="X116" s="83">
        <f t="shared" si="18"/>
        <v>30</v>
      </c>
      <c r="AC116" s="286">
        <f t="shared" si="19"/>
        <v>0.6503764115432874</v>
      </c>
      <c r="AD116" s="286">
        <f t="shared" si="15"/>
        <v>1.0766013174404014</v>
      </c>
      <c r="AE116" s="286">
        <f t="shared" si="16"/>
        <v>0.30402132998745296</v>
      </c>
    </row>
    <row r="117" spans="1:31" ht="12.75">
      <c r="A117" t="s">
        <v>147</v>
      </c>
      <c r="B117" s="7">
        <v>33</v>
      </c>
      <c r="C117" s="157" t="s">
        <v>474</v>
      </c>
      <c r="D117" s="62"/>
      <c r="E117" s="157" t="s">
        <v>474</v>
      </c>
      <c r="F117" s="62"/>
      <c r="G117" s="157" t="s">
        <v>474</v>
      </c>
      <c r="H117" s="62"/>
      <c r="I117" s="157" t="s">
        <v>474</v>
      </c>
      <c r="J117" s="62"/>
      <c r="K117" s="157" t="s">
        <v>474</v>
      </c>
      <c r="L117" s="62"/>
      <c r="M117" s="41" t="s">
        <v>410</v>
      </c>
      <c r="N117" s="276">
        <v>1.37</v>
      </c>
      <c r="O117" s="278">
        <v>0.32</v>
      </c>
      <c r="P117" s="162">
        <f t="shared" si="20"/>
        <v>1</v>
      </c>
      <c r="Q117" s="162">
        <f t="shared" si="21"/>
        <v>0</v>
      </c>
      <c r="R117" s="275">
        <v>54.44</v>
      </c>
      <c r="S117" s="275">
        <v>16.63</v>
      </c>
      <c r="T117" s="275">
        <v>15.57</v>
      </c>
      <c r="U117" s="162">
        <f t="shared" si="23"/>
        <v>0</v>
      </c>
      <c r="V117" s="162">
        <f t="shared" si="22"/>
        <v>0</v>
      </c>
      <c r="W117" s="162">
        <f t="shared" si="17"/>
        <v>0</v>
      </c>
      <c r="X117" s="83">
        <f t="shared" si="18"/>
        <v>60</v>
      </c>
      <c r="AC117" s="286">
        <f t="shared" si="19"/>
        <v>0.4781430363864492</v>
      </c>
      <c r="AD117" s="286">
        <f>IF(S117="N/A","N/A",S117*$U$129/$T$122)</f>
        <v>0.12780269761606022</v>
      </c>
      <c r="AE117" s="286">
        <f>IF(T117="N/A","N/A",T117*$U$131/$T$122)</f>
        <v>0.11965652446675032</v>
      </c>
    </row>
    <row r="118" spans="2:24" ht="12.75">
      <c r="B118" s="22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</row>
    <row r="119" spans="3:24" ht="12.75"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183" t="s">
        <v>576</v>
      </c>
      <c r="N119" s="276" t="e">
        <f>ROUND(VLOOKUP($C119,Load_AM_IB!$A$2:$G$142,7,FALSE),2)&amp;IF($D119&gt;0," OR "&amp;ROUND(VLOOKUP($D119,Load_AM_IB!$A$2:$G$142,7,FALSE),2),"")&amp;" OR "&amp;ROUND(VLOOKUP($C119,Loading_PM_OB!$A$2:$G$142,7,FALSE),2)&amp;IF($D119&gt;0," OR "&amp;ROUND(VLOOKUP($D119,Loading_PM_OB!$A$2:$G$142,7,FALSE),2),"")</f>
        <v>#N/A</v>
      </c>
      <c r="O119" s="277" t="e">
        <f>ROUND(VLOOKUP($E119,Load_Midday!$A$2:$G$157,7,FALSE),2)&amp;IF($F119&gt;0," OR "&amp;ROUND(VLOOKUP($F119,Load_Midday!$A$2:$G$157,7,FALSE),2),"")</f>
        <v>#N/A</v>
      </c>
      <c r="P119" s="83"/>
      <c r="Q119" s="83"/>
      <c r="R119" s="276" t="e">
        <f>ROUND(VLOOKUP($G119,Productivity_PEAK!$B$2:$I$115,8,FALSE),2)&amp;IF($H119&gt;0," OR "&amp;ROUND(VLOOKUP($H119,Productivity_PEAK!$B$2:$I$115,8,FALSE),2),"")</f>
        <v>#N/A</v>
      </c>
      <c r="S119" s="276" t="e">
        <f>ROUND(VLOOKUP($I119,Productivity_OffPeak!$B$2:$I$222,8,FALSE),2)&amp;IF($J119&gt;0," OR "&amp;ROUND(VLOOKUP($J119,Productivity_OffPeak!$B$2:$I$222,8,FALSE),2),"")</f>
        <v>#N/A</v>
      </c>
      <c r="T119" s="276" t="e">
        <f>ROUND(VLOOKUP($K119,Productivity_Night!$B$2:$I$224,8,FALSE),2)&amp;IF($L119&gt;0," OR "&amp;ROUND(VLOOKUP($L119,Productivity_Night!$B$2:$I$224,8,FALSE),2),"")</f>
        <v>#N/A</v>
      </c>
      <c r="U119" s="83"/>
      <c r="V119" s="83"/>
      <c r="W119" s="83"/>
      <c r="X119" s="83"/>
    </row>
    <row r="120" spans="3:24" ht="13.5" thickBot="1"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</row>
    <row r="121" spans="3:24" ht="16.5" thickBot="1"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160"/>
      <c r="N121" s="402" t="s">
        <v>581</v>
      </c>
      <c r="O121" s="403"/>
      <c r="P121" s="197"/>
      <c r="Q121" s="84"/>
      <c r="R121" s="399" t="s">
        <v>580</v>
      </c>
      <c r="S121" s="400"/>
      <c r="T121" s="400"/>
      <c r="U121" s="400"/>
      <c r="V121" s="400"/>
      <c r="W121" s="401"/>
      <c r="X121" s="201"/>
    </row>
    <row r="122" spans="3:24" ht="25.5"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N122" s="198">
        <v>1.5</v>
      </c>
      <c r="O122" s="299">
        <v>2</v>
      </c>
      <c r="R122" s="332"/>
      <c r="S122" s="333" t="s">
        <v>420</v>
      </c>
      <c r="T122" s="334">
        <v>127.52</v>
      </c>
      <c r="U122" s="186"/>
      <c r="V122" s="185"/>
      <c r="W122" s="187"/>
      <c r="X122" s="202"/>
    </row>
    <row r="123" spans="3:25" ht="13.5" thickBot="1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N123" s="196">
        <v>0.8</v>
      </c>
      <c r="O123" s="168">
        <v>1</v>
      </c>
      <c r="R123" s="335"/>
      <c r="S123" s="190"/>
      <c r="T123" s="190"/>
      <c r="U123" s="188"/>
      <c r="V123" s="188"/>
      <c r="W123" s="189"/>
      <c r="X123" s="184"/>
      <c r="Y123" s="82"/>
    </row>
    <row r="124" spans="3:24" ht="25.5"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R124" s="335" t="s">
        <v>421</v>
      </c>
      <c r="S124" s="190" t="s">
        <v>422</v>
      </c>
      <c r="T124" s="190"/>
      <c r="U124" s="188" t="s">
        <v>423</v>
      </c>
      <c r="V124" s="188"/>
      <c r="W124" s="189"/>
      <c r="X124" s="199" t="s">
        <v>582</v>
      </c>
    </row>
    <row r="125" spans="3:24" ht="38.25"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R125" s="335" t="s">
        <v>424</v>
      </c>
      <c r="S125" s="190" t="s">
        <v>425</v>
      </c>
      <c r="T125" s="336">
        <f>T122</f>
        <v>127.52</v>
      </c>
      <c r="U125" s="191">
        <v>1.12</v>
      </c>
      <c r="V125" s="188" t="s">
        <v>426</v>
      </c>
      <c r="W125" s="192">
        <f aca="true" t="shared" si="24" ref="W125:W134">T125/U125</f>
        <v>113.85714285714285</v>
      </c>
      <c r="X125" s="23">
        <v>2</v>
      </c>
    </row>
    <row r="126" spans="18:24" ht="38.25">
      <c r="R126" s="335" t="s">
        <v>427</v>
      </c>
      <c r="S126" s="190" t="s">
        <v>425</v>
      </c>
      <c r="T126" s="336">
        <f>T122</f>
        <v>127.52</v>
      </c>
      <c r="U126" s="191">
        <v>1.3</v>
      </c>
      <c r="V126" s="188" t="s">
        <v>426</v>
      </c>
      <c r="W126" s="192">
        <f>T126/U126</f>
        <v>98.09230769230768</v>
      </c>
      <c r="X126" s="79">
        <v>2</v>
      </c>
    </row>
    <row r="127" spans="3:24" ht="38.25"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R127" s="335" t="s">
        <v>424</v>
      </c>
      <c r="S127" s="190" t="s">
        <v>428</v>
      </c>
      <c r="T127" s="336">
        <f>T122*0.5</f>
        <v>63.76</v>
      </c>
      <c r="U127" s="191">
        <v>1.12</v>
      </c>
      <c r="V127" s="188" t="s">
        <v>426</v>
      </c>
      <c r="W127" s="192">
        <f>T127/U127</f>
        <v>56.92857142857142</v>
      </c>
      <c r="X127" s="79">
        <v>1</v>
      </c>
    </row>
    <row r="128" spans="18:24" ht="38.25">
      <c r="R128" s="335" t="s">
        <v>427</v>
      </c>
      <c r="S128" s="190" t="s">
        <v>428</v>
      </c>
      <c r="T128" s="336">
        <f>T127</f>
        <v>63.76</v>
      </c>
      <c r="U128" s="191">
        <v>1.3</v>
      </c>
      <c r="V128" s="188" t="s">
        <v>426</v>
      </c>
      <c r="W128" s="192">
        <f t="shared" si="24"/>
        <v>49.04615384615384</v>
      </c>
      <c r="X128" s="79">
        <v>1</v>
      </c>
    </row>
    <row r="129" spans="13:24" ht="38.25">
      <c r="M129"/>
      <c r="R129" s="335" t="s">
        <v>429</v>
      </c>
      <c r="S129" s="190" t="s">
        <v>425</v>
      </c>
      <c r="T129" s="336">
        <f>T122</f>
        <v>127.52</v>
      </c>
      <c r="U129" s="191">
        <v>0.98</v>
      </c>
      <c r="V129" s="188" t="s">
        <v>426</v>
      </c>
      <c r="W129" s="192">
        <f t="shared" si="24"/>
        <v>130.12244897959184</v>
      </c>
      <c r="X129" s="79">
        <v>2</v>
      </c>
    </row>
    <row r="130" spans="2:26" s="2" customFormat="1" ht="38.25"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N130" s="200"/>
      <c r="O130" s="200"/>
      <c r="Q130"/>
      <c r="R130" s="335" t="s">
        <v>429</v>
      </c>
      <c r="S130" s="190" t="s">
        <v>428</v>
      </c>
      <c r="T130" s="336">
        <f>T129/2</f>
        <v>63.76</v>
      </c>
      <c r="U130" s="191">
        <v>0.98</v>
      </c>
      <c r="V130" s="188" t="s">
        <v>426</v>
      </c>
      <c r="W130" s="192">
        <f t="shared" si="24"/>
        <v>65.06122448979592</v>
      </c>
      <c r="X130" s="79">
        <v>1</v>
      </c>
      <c r="Z130"/>
    </row>
    <row r="131" spans="2:24" s="2" customFormat="1" ht="38.25"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N131" s="200"/>
      <c r="O131" s="200"/>
      <c r="R131" s="335" t="s">
        <v>419</v>
      </c>
      <c r="S131" s="190" t="s">
        <v>425</v>
      </c>
      <c r="T131" s="336">
        <f>T129</f>
        <v>127.52</v>
      </c>
      <c r="U131" s="191">
        <v>0.98</v>
      </c>
      <c r="V131" s="188" t="s">
        <v>426</v>
      </c>
      <c r="W131" s="192">
        <f t="shared" si="24"/>
        <v>130.12244897959184</v>
      </c>
      <c r="X131" s="200">
        <v>2</v>
      </c>
    </row>
    <row r="132" spans="2:24" s="2" customFormat="1" ht="38.25"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N132" s="200"/>
      <c r="O132" s="200"/>
      <c r="R132" s="335" t="s">
        <v>419</v>
      </c>
      <c r="S132" s="190" t="s">
        <v>430</v>
      </c>
      <c r="T132" s="336">
        <f>T131/3</f>
        <v>42.50666666666667</v>
      </c>
      <c r="U132" s="191">
        <v>0.98</v>
      </c>
      <c r="V132" s="188" t="s">
        <v>426</v>
      </c>
      <c r="W132" s="192">
        <f t="shared" si="24"/>
        <v>43.374149659863946</v>
      </c>
      <c r="X132" s="200">
        <v>1</v>
      </c>
    </row>
    <row r="133" spans="2:24" s="2" customFormat="1" ht="38.25"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N133" s="200"/>
      <c r="O133" s="200"/>
      <c r="R133" s="335" t="s">
        <v>431</v>
      </c>
      <c r="S133" s="190" t="s">
        <v>432</v>
      </c>
      <c r="T133" s="336">
        <f>T122*0.16</f>
        <v>20.4032</v>
      </c>
      <c r="U133" s="191">
        <v>0.98</v>
      </c>
      <c r="V133" s="188" t="s">
        <v>426</v>
      </c>
      <c r="W133" s="192">
        <f t="shared" si="24"/>
        <v>20.81959183673469</v>
      </c>
      <c r="X133" s="200">
        <v>30</v>
      </c>
    </row>
    <row r="134" spans="2:24" s="2" customFormat="1" ht="39" thickBot="1"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N134" s="279"/>
      <c r="O134" s="279"/>
      <c r="P134" s="85"/>
      <c r="R134" s="337" t="s">
        <v>433</v>
      </c>
      <c r="S134" s="338" t="s">
        <v>434</v>
      </c>
      <c r="T134" s="339">
        <f>T122*0.08</f>
        <v>10.2016</v>
      </c>
      <c r="U134" s="194">
        <v>0.98</v>
      </c>
      <c r="V134" s="193" t="s">
        <v>426</v>
      </c>
      <c r="W134" s="195">
        <f t="shared" si="24"/>
        <v>10.409795918367346</v>
      </c>
      <c r="X134" s="200">
        <v>60</v>
      </c>
    </row>
    <row r="135" spans="2:20" s="2" customFormat="1" ht="12.75"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N135" s="279"/>
      <c r="O135" s="279"/>
      <c r="P135" s="85"/>
      <c r="Q135" s="85"/>
      <c r="R135" s="279"/>
      <c r="S135" s="279"/>
      <c r="T135" s="200"/>
    </row>
    <row r="136" spans="2:20" s="2" customFormat="1" ht="12.75"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N136" s="279"/>
      <c r="O136" s="279"/>
      <c r="P136" s="85"/>
      <c r="Q136" s="85"/>
      <c r="R136" s="279"/>
      <c r="S136" s="279"/>
      <c r="T136" s="200"/>
    </row>
    <row r="137" spans="2:20" s="2" customFormat="1" ht="12.75"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N137" s="279"/>
      <c r="O137" s="341">
        <v>0.15</v>
      </c>
      <c r="P137" s="103">
        <f>T122*0.15</f>
        <v>19.128</v>
      </c>
      <c r="Q137" s="85"/>
      <c r="R137" s="279"/>
      <c r="S137" s="279"/>
      <c r="T137" s="200"/>
    </row>
    <row r="138" spans="2:20" s="2" customFormat="1" ht="12.75"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N138" s="279"/>
      <c r="O138" s="341">
        <v>0.25</v>
      </c>
      <c r="P138" s="103">
        <f>T122*0.25</f>
        <v>31.88</v>
      </c>
      <c r="Q138" s="102">
        <v>0.98</v>
      </c>
      <c r="R138" s="279"/>
      <c r="S138" s="340">
        <f>P137/Q138</f>
        <v>19.518367346938778</v>
      </c>
      <c r="T138" s="200"/>
    </row>
    <row r="139" spans="2:20" s="2" customFormat="1" ht="12.75"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N139" s="279"/>
      <c r="O139" s="341">
        <v>1.5</v>
      </c>
      <c r="P139" s="103">
        <f>T122*1.5</f>
        <v>191.28</v>
      </c>
      <c r="Q139" s="102">
        <v>0.98</v>
      </c>
      <c r="R139" s="279"/>
      <c r="S139" s="340">
        <f>P138/Q139</f>
        <v>32.53061224489796</v>
      </c>
      <c r="T139" s="200"/>
    </row>
    <row r="140" spans="2:20" s="2" customFormat="1" ht="12.75"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N140" s="200"/>
      <c r="O140" s="200"/>
      <c r="Q140" s="102">
        <v>0.98</v>
      </c>
      <c r="R140" s="279"/>
      <c r="S140" s="340">
        <f>P139/Q140</f>
        <v>195.18367346938777</v>
      </c>
      <c r="T140" s="200"/>
    </row>
    <row r="141" spans="2:20" s="2" customFormat="1" ht="12.75"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N141" s="200"/>
      <c r="O141" s="200"/>
      <c r="R141" s="200"/>
      <c r="S141" s="200"/>
      <c r="T141" s="200"/>
    </row>
    <row r="142" spans="2:20" s="2" customFormat="1" ht="12.75"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N142" s="200"/>
      <c r="O142" s="200"/>
      <c r="R142" s="200"/>
      <c r="S142" s="200"/>
      <c r="T142" s="200"/>
    </row>
    <row r="143" spans="13:26" ht="12.75">
      <c r="M143"/>
      <c r="Q143" s="2"/>
      <c r="R143" s="200"/>
      <c r="S143" s="200"/>
      <c r="T143" s="200"/>
      <c r="U143" s="2"/>
      <c r="V143" s="2"/>
      <c r="W143" s="2"/>
      <c r="X143" s="2"/>
      <c r="Y143" s="2"/>
      <c r="Z143" s="2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</sheetData>
  <sheetProtection/>
  <mergeCells count="8">
    <mergeCell ref="AC2:AE3"/>
    <mergeCell ref="R121:W121"/>
    <mergeCell ref="N121:O121"/>
    <mergeCell ref="Y4:Z4"/>
    <mergeCell ref="N1:Z1"/>
    <mergeCell ref="N2:O3"/>
    <mergeCell ref="R2:T3"/>
    <mergeCell ref="Y2:Z3"/>
  </mergeCells>
  <printOptions/>
  <pageMargins left="0.75" right="0.75" top="1" bottom="1" header="0.5" footer="0.5"/>
  <pageSetup horizontalDpi="600" verticalDpi="600" orientation="landscape" scale="61" r:id="rId2"/>
  <headerFooter alignWithMargins="0">
    <oddHeader>&amp;CRoutes Used for Cost Recovery and Over-Crowding Evaluations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91" customWidth="1"/>
    <col min="2" max="2" width="21.7109375" style="85" customWidth="1"/>
    <col min="3" max="3" width="9.421875" style="85" bestFit="1" customWidth="1"/>
    <col min="4" max="4" width="7.57421875" style="85" bestFit="1" customWidth="1"/>
    <col min="5" max="5" width="12.421875" style="85" bestFit="1" customWidth="1"/>
    <col min="6" max="6" width="16.421875" style="92" bestFit="1" customWidth="1"/>
    <col min="7" max="7" width="19.57421875" style="94" bestFit="1" customWidth="1"/>
    <col min="8" max="8" width="20.57421875" style="94" bestFit="1" customWidth="1"/>
    <col min="9" max="9" width="19.57421875" style="93" customWidth="1"/>
    <col min="10" max="10" width="13.140625" style="85" bestFit="1" customWidth="1"/>
    <col min="11" max="16384" width="9.140625" style="85" customWidth="1"/>
  </cols>
  <sheetData>
    <row r="1" spans="1:11" ht="12.75">
      <c r="A1" s="86" t="s">
        <v>397</v>
      </c>
      <c r="B1" s="87" t="s">
        <v>398</v>
      </c>
      <c r="C1" s="87" t="s">
        <v>399</v>
      </c>
      <c r="D1" s="87" t="s">
        <v>400</v>
      </c>
      <c r="E1" s="87" t="s">
        <v>401</v>
      </c>
      <c r="F1" s="88" t="s">
        <v>403</v>
      </c>
      <c r="G1" s="90" t="s">
        <v>404</v>
      </c>
      <c r="H1" s="90" t="s">
        <v>405</v>
      </c>
      <c r="I1" s="89" t="s">
        <v>406</v>
      </c>
      <c r="J1" s="87" t="s">
        <v>407</v>
      </c>
      <c r="K1" s="213" t="s">
        <v>732</v>
      </c>
    </row>
    <row r="2" spans="1:10" ht="12.75">
      <c r="A2" s="91">
        <v>2009.3</v>
      </c>
      <c r="B2" s="85" t="str">
        <f aca="true" t="shared" si="0" ref="B2:B34">C2&amp;IF(D2=" ",IF(E2=" ",,E2),D2)&amp;IF(D2=" ",,IF(E2=" ",,E2))</f>
        <v>68</v>
      </c>
      <c r="C2" s="85">
        <v>68</v>
      </c>
      <c r="D2" s="85" t="s">
        <v>409</v>
      </c>
      <c r="E2" s="85" t="s">
        <v>409</v>
      </c>
      <c r="F2" s="92">
        <v>56.6713788204734</v>
      </c>
      <c r="G2" s="94">
        <v>15</v>
      </c>
      <c r="H2" s="94">
        <v>60</v>
      </c>
      <c r="I2" s="93">
        <f>F2*H2/G2</f>
        <v>226.6855152818936</v>
      </c>
      <c r="J2" s="95" t="s">
        <v>410</v>
      </c>
    </row>
    <row r="3" spans="1:10" ht="12.75">
      <c r="A3" s="91">
        <v>2009.3</v>
      </c>
      <c r="B3" s="85" t="str">
        <f t="shared" si="0"/>
        <v>48N</v>
      </c>
      <c r="C3" s="85">
        <v>48</v>
      </c>
      <c r="D3" s="85" t="s">
        <v>408</v>
      </c>
      <c r="E3" s="85" t="s">
        <v>409</v>
      </c>
      <c r="F3" s="92">
        <v>47.1766402040505</v>
      </c>
      <c r="G3" s="94">
        <v>10</v>
      </c>
      <c r="H3" s="94">
        <v>30</v>
      </c>
      <c r="I3" s="93">
        <f aca="true" t="shared" si="1" ref="I3:I34">F3*H3/G3</f>
        <v>141.5299206121515</v>
      </c>
      <c r="J3" s="95" t="s">
        <v>410</v>
      </c>
    </row>
    <row r="4" spans="1:10" ht="12.75">
      <c r="A4" s="91">
        <v>2009.3</v>
      </c>
      <c r="B4" s="85" t="str">
        <f t="shared" si="0"/>
        <v>41</v>
      </c>
      <c r="C4" s="85">
        <v>41</v>
      </c>
      <c r="D4" s="85" t="s">
        <v>409</v>
      </c>
      <c r="E4" s="85" t="s">
        <v>409</v>
      </c>
      <c r="F4" s="92">
        <v>42.7888535299857</v>
      </c>
      <c r="G4" s="94">
        <v>5</v>
      </c>
      <c r="H4" s="94">
        <v>15</v>
      </c>
      <c r="I4" s="93">
        <f t="shared" si="1"/>
        <v>128.36656058995712</v>
      </c>
      <c r="J4" s="85" t="s">
        <v>410</v>
      </c>
    </row>
    <row r="5" spans="1:10" ht="12.75">
      <c r="A5" s="91">
        <v>2009.3</v>
      </c>
      <c r="B5" s="85" t="str">
        <f t="shared" si="0"/>
        <v>3STB</v>
      </c>
      <c r="C5" s="85">
        <v>3</v>
      </c>
      <c r="D5" s="85" t="s">
        <v>411</v>
      </c>
      <c r="E5" s="85" t="s">
        <v>412</v>
      </c>
      <c r="F5" s="92">
        <v>55.3272655726237</v>
      </c>
      <c r="G5" s="94">
        <v>7.5</v>
      </c>
      <c r="H5" s="94">
        <v>15</v>
      </c>
      <c r="I5" s="93">
        <f>F5*H5/G5</f>
        <v>110.6545311452474</v>
      </c>
      <c r="J5" s="95" t="s">
        <v>410</v>
      </c>
    </row>
    <row r="6" spans="1:10" ht="12.75">
      <c r="A6" s="91">
        <v>2009.3</v>
      </c>
      <c r="B6" s="85" t="str">
        <f t="shared" si="0"/>
        <v>48S</v>
      </c>
      <c r="C6" s="85">
        <v>48</v>
      </c>
      <c r="D6" s="85" t="s">
        <v>411</v>
      </c>
      <c r="E6" s="85" t="s">
        <v>409</v>
      </c>
      <c r="F6" s="92">
        <v>71.1245485436905</v>
      </c>
      <c r="G6" s="94">
        <v>10</v>
      </c>
      <c r="H6" s="94">
        <v>15</v>
      </c>
      <c r="I6" s="93">
        <f t="shared" si="1"/>
        <v>106.68682281553575</v>
      </c>
      <c r="J6" s="95" t="s">
        <v>410</v>
      </c>
    </row>
    <row r="7" spans="1:10" ht="12.75">
      <c r="A7" s="91">
        <v>2009.3</v>
      </c>
      <c r="B7" s="85" t="str">
        <f t="shared" si="0"/>
        <v>3N</v>
      </c>
      <c r="C7" s="85">
        <v>3</v>
      </c>
      <c r="D7" s="85" t="s">
        <v>408</v>
      </c>
      <c r="E7" s="85" t="s">
        <v>409</v>
      </c>
      <c r="F7" s="92">
        <v>70.5990790755146</v>
      </c>
      <c r="G7" s="94">
        <v>10</v>
      </c>
      <c r="H7" s="94">
        <v>15</v>
      </c>
      <c r="I7" s="93">
        <f t="shared" si="1"/>
        <v>105.8986186132719</v>
      </c>
      <c r="J7" s="95" t="s">
        <v>410</v>
      </c>
    </row>
    <row r="8" spans="1:10" ht="12.75">
      <c r="A8" s="91">
        <v>2009.3</v>
      </c>
      <c r="B8" s="85" t="str">
        <f t="shared" si="0"/>
        <v>73EX</v>
      </c>
      <c r="C8" s="85">
        <v>73</v>
      </c>
      <c r="D8" s="85" t="s">
        <v>409</v>
      </c>
      <c r="E8" s="85" t="s">
        <v>413</v>
      </c>
      <c r="F8" s="92">
        <v>54.3229899362211</v>
      </c>
      <c r="G8" s="94">
        <v>8</v>
      </c>
      <c r="H8" s="94">
        <v>15</v>
      </c>
      <c r="I8" s="93">
        <f t="shared" si="1"/>
        <v>101.85560613041456</v>
      </c>
      <c r="J8" s="85" t="s">
        <v>410</v>
      </c>
    </row>
    <row r="9" spans="1:10" ht="12.75">
      <c r="A9" s="91">
        <v>2009.3</v>
      </c>
      <c r="B9" s="85" t="str">
        <f t="shared" si="0"/>
        <v>255TB</v>
      </c>
      <c r="C9" s="85">
        <v>255</v>
      </c>
      <c r="D9" s="85" t="s">
        <v>409</v>
      </c>
      <c r="E9" s="85" t="s">
        <v>412</v>
      </c>
      <c r="F9" s="92">
        <v>32.8052737690837</v>
      </c>
      <c r="G9" s="94">
        <v>10</v>
      </c>
      <c r="H9" s="94">
        <v>30</v>
      </c>
      <c r="I9" s="93">
        <f t="shared" si="1"/>
        <v>98.4158213072511</v>
      </c>
      <c r="J9" s="95" t="s">
        <v>414</v>
      </c>
    </row>
    <row r="10" spans="1:10" ht="12.75">
      <c r="A10" s="91">
        <v>2009.3</v>
      </c>
      <c r="B10" s="85" t="str">
        <f t="shared" si="0"/>
        <v>358EX</v>
      </c>
      <c r="C10" s="85">
        <v>358</v>
      </c>
      <c r="D10" s="85" t="s">
        <v>409</v>
      </c>
      <c r="E10" s="85" t="s">
        <v>413</v>
      </c>
      <c r="F10" s="92">
        <v>46.8881102332933</v>
      </c>
      <c r="G10" s="94">
        <v>8</v>
      </c>
      <c r="H10" s="94">
        <v>15</v>
      </c>
      <c r="I10" s="93">
        <f t="shared" si="1"/>
        <v>87.91520668742493</v>
      </c>
      <c r="J10" s="85" t="s">
        <v>414</v>
      </c>
    </row>
    <row r="11" spans="1:10" ht="12.75">
      <c r="A11" s="91">
        <v>2009.3</v>
      </c>
      <c r="B11" s="85" t="str">
        <f t="shared" si="0"/>
        <v>13</v>
      </c>
      <c r="C11" s="85">
        <v>13</v>
      </c>
      <c r="D11" s="85" t="s">
        <v>409</v>
      </c>
      <c r="E11" s="85" t="s">
        <v>409</v>
      </c>
      <c r="F11" s="92">
        <v>58.4815648970136</v>
      </c>
      <c r="G11" s="94">
        <v>10</v>
      </c>
      <c r="H11" s="94">
        <v>15</v>
      </c>
      <c r="I11" s="93">
        <f t="shared" si="1"/>
        <v>87.72234734552039</v>
      </c>
      <c r="J11" s="95" t="s">
        <v>410</v>
      </c>
    </row>
    <row r="12" spans="1:10" ht="12.75">
      <c r="A12" s="91">
        <v>2009.3</v>
      </c>
      <c r="B12" s="85" t="str">
        <f t="shared" si="0"/>
        <v>15</v>
      </c>
      <c r="C12" s="85">
        <v>15</v>
      </c>
      <c r="D12" s="85" t="s">
        <v>409</v>
      </c>
      <c r="E12" s="85" t="s">
        <v>409</v>
      </c>
      <c r="F12" s="92">
        <v>57.3660364423574</v>
      </c>
      <c r="G12" s="94">
        <v>10</v>
      </c>
      <c r="H12" s="94">
        <v>10</v>
      </c>
      <c r="I12" s="93">
        <f t="shared" si="1"/>
        <v>57.366036442357405</v>
      </c>
      <c r="J12" s="95" t="s">
        <v>410</v>
      </c>
    </row>
    <row r="13" spans="1:10" ht="12.75">
      <c r="A13" s="91">
        <v>2009.3</v>
      </c>
      <c r="B13" s="85" t="str">
        <f t="shared" si="0"/>
        <v>75TB</v>
      </c>
      <c r="C13" s="85">
        <v>75</v>
      </c>
      <c r="D13" s="85" t="s">
        <v>409</v>
      </c>
      <c r="E13" s="85" t="s">
        <v>412</v>
      </c>
      <c r="F13" s="92">
        <v>42.3737502095213</v>
      </c>
      <c r="G13" s="94">
        <v>15</v>
      </c>
      <c r="H13" s="94">
        <v>30</v>
      </c>
      <c r="I13" s="93">
        <f t="shared" si="1"/>
        <v>84.7475004190426</v>
      </c>
      <c r="J13" s="85" t="s">
        <v>410</v>
      </c>
    </row>
    <row r="14" spans="1:10" ht="12.75">
      <c r="A14" s="91">
        <v>2009.3</v>
      </c>
      <c r="B14" s="85" t="str">
        <f t="shared" si="0"/>
        <v>10</v>
      </c>
      <c r="C14" s="85">
        <v>10</v>
      </c>
      <c r="D14" s="85" t="s">
        <v>409</v>
      </c>
      <c r="E14" s="85" t="s">
        <v>409</v>
      </c>
      <c r="F14" s="92">
        <v>55.768852905813</v>
      </c>
      <c r="G14" s="94">
        <v>10</v>
      </c>
      <c r="H14" s="94">
        <v>15</v>
      </c>
      <c r="I14" s="93">
        <f t="shared" si="1"/>
        <v>83.6532793587195</v>
      </c>
      <c r="J14" s="95" t="s">
        <v>410</v>
      </c>
    </row>
    <row r="15" spans="1:10" ht="12.75">
      <c r="A15" s="91">
        <v>2009.3</v>
      </c>
      <c r="B15" s="85" t="str">
        <f t="shared" si="0"/>
        <v>2S</v>
      </c>
      <c r="C15" s="85">
        <v>2</v>
      </c>
      <c r="D15" s="85" t="s">
        <v>411</v>
      </c>
      <c r="E15" s="85" t="s">
        <v>409</v>
      </c>
      <c r="F15" s="92">
        <v>55.6757667001227</v>
      </c>
      <c r="G15" s="94">
        <v>10</v>
      </c>
      <c r="H15" s="94">
        <v>30</v>
      </c>
      <c r="I15" s="93">
        <f t="shared" si="1"/>
        <v>167.0273001003681</v>
      </c>
      <c r="J15" s="95" t="s">
        <v>410</v>
      </c>
    </row>
    <row r="16" spans="1:10" ht="12.75">
      <c r="A16" s="91">
        <v>2009.3</v>
      </c>
      <c r="B16" s="85" t="str">
        <f t="shared" si="0"/>
        <v>26</v>
      </c>
      <c r="C16" s="85">
        <v>26</v>
      </c>
      <c r="D16" s="85" t="s">
        <v>409</v>
      </c>
      <c r="E16" s="85" t="s">
        <v>409</v>
      </c>
      <c r="F16" s="92">
        <v>52.9416566838816</v>
      </c>
      <c r="G16" s="94">
        <v>10</v>
      </c>
      <c r="H16" s="94">
        <v>15</v>
      </c>
      <c r="I16" s="93">
        <f t="shared" si="1"/>
        <v>79.4124850258224</v>
      </c>
      <c r="J16" s="95" t="s">
        <v>410</v>
      </c>
    </row>
    <row r="17" spans="1:10" ht="12.75">
      <c r="A17" s="91">
        <v>2009.3</v>
      </c>
      <c r="B17" s="85" t="str">
        <f t="shared" si="0"/>
        <v>120</v>
      </c>
      <c r="C17" s="85">
        <v>120</v>
      </c>
      <c r="D17" s="85" t="s">
        <v>409</v>
      </c>
      <c r="E17" s="85" t="s">
        <v>409</v>
      </c>
      <c r="F17" s="92">
        <v>42.0529359464762</v>
      </c>
      <c r="G17" s="94">
        <v>8</v>
      </c>
      <c r="H17" s="94">
        <v>15</v>
      </c>
      <c r="I17" s="93">
        <f t="shared" si="1"/>
        <v>78.84925489964287</v>
      </c>
      <c r="J17" s="95" t="s">
        <v>414</v>
      </c>
    </row>
    <row r="18" spans="1:10" ht="12.75">
      <c r="A18" s="91">
        <v>2009.3</v>
      </c>
      <c r="B18" s="85" t="str">
        <f t="shared" si="0"/>
        <v>36</v>
      </c>
      <c r="C18" s="85">
        <v>36</v>
      </c>
      <c r="D18" s="85" t="s">
        <v>409</v>
      </c>
      <c r="E18" s="85" t="s">
        <v>409</v>
      </c>
      <c r="F18" s="92">
        <v>39.4940569468187</v>
      </c>
      <c r="G18" s="94">
        <v>8</v>
      </c>
      <c r="H18" s="94">
        <v>15</v>
      </c>
      <c r="I18" s="93">
        <f t="shared" si="1"/>
        <v>74.05135677528507</v>
      </c>
      <c r="J18" s="95" t="s">
        <v>410</v>
      </c>
    </row>
    <row r="19" spans="1:10" ht="12.75">
      <c r="A19" s="91">
        <v>2009.3</v>
      </c>
      <c r="B19" s="85" t="str">
        <f t="shared" si="0"/>
        <v>372TEX</v>
      </c>
      <c r="C19" s="85">
        <v>372</v>
      </c>
      <c r="D19" s="85" t="s">
        <v>409</v>
      </c>
      <c r="E19" s="85" t="s">
        <v>415</v>
      </c>
      <c r="F19" s="92">
        <v>36.9875305552355</v>
      </c>
      <c r="G19" s="94">
        <v>15</v>
      </c>
      <c r="H19" s="94">
        <v>60</v>
      </c>
      <c r="I19" s="93">
        <f t="shared" si="1"/>
        <v>147.950122220942</v>
      </c>
      <c r="J19" s="85" t="s">
        <v>414</v>
      </c>
    </row>
    <row r="20" spans="1:10" ht="12.75">
      <c r="A20" s="91">
        <v>2009.3</v>
      </c>
      <c r="B20" s="85" t="str">
        <f t="shared" si="0"/>
        <v>9EX</v>
      </c>
      <c r="C20" s="85">
        <v>9</v>
      </c>
      <c r="D20" s="85" t="s">
        <v>409</v>
      </c>
      <c r="E20" s="85" t="s">
        <v>413</v>
      </c>
      <c r="F20" s="92">
        <v>36.539220391404</v>
      </c>
      <c r="G20" s="94">
        <v>15</v>
      </c>
      <c r="H20" s="94">
        <v>30</v>
      </c>
      <c r="I20" s="93">
        <f t="shared" si="1"/>
        <v>73.078440782808</v>
      </c>
      <c r="J20" s="95" t="s">
        <v>410</v>
      </c>
    </row>
    <row r="21" spans="1:10" ht="12.75">
      <c r="A21" s="91">
        <v>2009.3</v>
      </c>
      <c r="B21" s="85" t="str">
        <f t="shared" si="0"/>
        <v>12TB</v>
      </c>
      <c r="C21" s="85">
        <v>12</v>
      </c>
      <c r="D21" s="85" t="s">
        <v>409</v>
      </c>
      <c r="E21" s="85" t="s">
        <v>412</v>
      </c>
      <c r="F21" s="92">
        <v>47.3456437074703</v>
      </c>
      <c r="G21" s="94">
        <v>10</v>
      </c>
      <c r="H21" s="94">
        <v>15</v>
      </c>
      <c r="I21" s="93">
        <f t="shared" si="1"/>
        <v>71.01846556120545</v>
      </c>
      <c r="J21" s="95" t="s">
        <v>410</v>
      </c>
    </row>
    <row r="22" spans="1:10" ht="12.75">
      <c r="A22" s="91">
        <v>2009.3</v>
      </c>
      <c r="B22" s="85" t="str">
        <f t="shared" si="0"/>
        <v>7TB</v>
      </c>
      <c r="C22" s="85">
        <v>7</v>
      </c>
      <c r="D22" s="85" t="s">
        <v>409</v>
      </c>
      <c r="E22" s="85" t="s">
        <v>412</v>
      </c>
      <c r="F22" s="92">
        <v>43.7533937616093</v>
      </c>
      <c r="G22" s="94">
        <v>10</v>
      </c>
      <c r="H22" s="94">
        <v>15</v>
      </c>
      <c r="I22" s="93">
        <f t="shared" si="1"/>
        <v>65.63009064241395</v>
      </c>
      <c r="J22" s="95" t="s">
        <v>410</v>
      </c>
    </row>
    <row r="23" spans="1:10" ht="12.75">
      <c r="A23" s="91">
        <v>2009.3</v>
      </c>
      <c r="B23" s="85" t="str">
        <f t="shared" si="0"/>
        <v>44</v>
      </c>
      <c r="C23" s="85">
        <v>44</v>
      </c>
      <c r="D23" s="85" t="s">
        <v>409</v>
      </c>
      <c r="E23" s="85" t="s">
        <v>409</v>
      </c>
      <c r="F23" s="92">
        <v>51.5042395987652</v>
      </c>
      <c r="G23" s="94">
        <v>12</v>
      </c>
      <c r="H23" s="94">
        <v>15</v>
      </c>
      <c r="I23" s="93">
        <f t="shared" si="1"/>
        <v>64.3802994984565</v>
      </c>
      <c r="J23" s="95" t="s">
        <v>410</v>
      </c>
    </row>
    <row r="24" spans="1:10" ht="12.75">
      <c r="A24" s="91">
        <v>2009.3</v>
      </c>
      <c r="B24" s="85" t="str">
        <f t="shared" si="0"/>
        <v>106</v>
      </c>
      <c r="C24" s="85">
        <v>106</v>
      </c>
      <c r="D24" s="85" t="s">
        <v>409</v>
      </c>
      <c r="E24" s="85" t="s">
        <v>409</v>
      </c>
      <c r="F24" s="92">
        <v>29.9917743214186</v>
      </c>
      <c r="G24" s="94">
        <v>15</v>
      </c>
      <c r="H24" s="94">
        <v>30</v>
      </c>
      <c r="I24" s="93">
        <f t="shared" si="1"/>
        <v>59.9835486428372</v>
      </c>
      <c r="J24" s="95" t="s">
        <v>414</v>
      </c>
    </row>
    <row r="25" spans="1:10" ht="12.75">
      <c r="A25" s="91">
        <v>2009.3</v>
      </c>
      <c r="B25" s="85" t="str">
        <f t="shared" si="0"/>
        <v>373EX</v>
      </c>
      <c r="C25" s="85">
        <v>373</v>
      </c>
      <c r="D25" s="85" t="s">
        <v>409</v>
      </c>
      <c r="E25" s="85" t="s">
        <v>413</v>
      </c>
      <c r="F25" s="92">
        <v>29.428057245029</v>
      </c>
      <c r="G25" s="94">
        <v>15</v>
      </c>
      <c r="H25" s="94">
        <v>60</v>
      </c>
      <c r="I25" s="93">
        <f t="shared" si="1"/>
        <v>117.712228980116</v>
      </c>
      <c r="J25" s="85" t="s">
        <v>414</v>
      </c>
    </row>
    <row r="26" spans="1:10" ht="12.75">
      <c r="A26" s="91">
        <v>2009.3</v>
      </c>
      <c r="B26" s="85" t="str">
        <f t="shared" si="0"/>
        <v>107</v>
      </c>
      <c r="C26" s="85">
        <v>107</v>
      </c>
      <c r="D26" s="85" t="s">
        <v>409</v>
      </c>
      <c r="E26" s="85" t="s">
        <v>409</v>
      </c>
      <c r="F26" s="92">
        <v>28.706806128193</v>
      </c>
      <c r="G26" s="94">
        <v>15</v>
      </c>
      <c r="H26" s="94">
        <v>30</v>
      </c>
      <c r="I26" s="93">
        <f t="shared" si="1"/>
        <v>57.413612256386</v>
      </c>
      <c r="J26" s="95" t="s">
        <v>414</v>
      </c>
    </row>
    <row r="27" spans="1:10" ht="12.75">
      <c r="A27" s="91">
        <v>2009.3</v>
      </c>
      <c r="B27" s="85" t="str">
        <f t="shared" si="0"/>
        <v>33</v>
      </c>
      <c r="C27" s="85">
        <v>33</v>
      </c>
      <c r="D27" s="85" t="s">
        <v>409</v>
      </c>
      <c r="E27" s="85" t="s">
        <v>409</v>
      </c>
      <c r="F27" s="92">
        <v>36.2957721498696</v>
      </c>
      <c r="G27" s="94">
        <v>20</v>
      </c>
      <c r="H27" s="94">
        <v>30</v>
      </c>
      <c r="I27" s="93">
        <f t="shared" si="1"/>
        <v>54.4436582248044</v>
      </c>
      <c r="J27" s="95" t="s">
        <v>410</v>
      </c>
    </row>
    <row r="28" spans="1:10" ht="12.75">
      <c r="A28" s="91">
        <v>2009.3</v>
      </c>
      <c r="B28" s="85" t="str">
        <f t="shared" si="0"/>
        <v>54</v>
      </c>
      <c r="C28" s="85">
        <v>54</v>
      </c>
      <c r="D28" s="85" t="s">
        <v>409</v>
      </c>
      <c r="E28" s="85" t="s">
        <v>409</v>
      </c>
      <c r="F28" s="92">
        <v>34.8233116388872</v>
      </c>
      <c r="G28" s="94">
        <v>20</v>
      </c>
      <c r="H28" s="94">
        <v>30</v>
      </c>
      <c r="I28" s="93">
        <f t="shared" si="1"/>
        <v>52.2349674583308</v>
      </c>
      <c r="J28" s="95" t="s">
        <v>410</v>
      </c>
    </row>
    <row r="29" spans="1:10" ht="12.75">
      <c r="A29" s="91">
        <v>2009.3</v>
      </c>
      <c r="B29" s="85" t="str">
        <f t="shared" si="0"/>
        <v>17</v>
      </c>
      <c r="C29" s="85">
        <v>17</v>
      </c>
      <c r="D29" s="85" t="s">
        <v>409</v>
      </c>
      <c r="E29" s="85" t="s">
        <v>409</v>
      </c>
      <c r="F29" s="92">
        <v>33.8227005052364</v>
      </c>
      <c r="G29" s="94">
        <v>20</v>
      </c>
      <c r="H29" s="94">
        <v>60</v>
      </c>
      <c r="I29" s="93">
        <f t="shared" si="1"/>
        <v>101.4681015157092</v>
      </c>
      <c r="J29" s="95" t="s">
        <v>410</v>
      </c>
    </row>
    <row r="30" spans="1:10" ht="12.75">
      <c r="A30" s="91">
        <v>2009.3</v>
      </c>
      <c r="B30" s="85" t="str">
        <f t="shared" si="0"/>
        <v>101</v>
      </c>
      <c r="C30" s="85">
        <v>101</v>
      </c>
      <c r="D30" s="85" t="s">
        <v>409</v>
      </c>
      <c r="E30" s="85" t="s">
        <v>409</v>
      </c>
      <c r="F30" s="92">
        <v>33.8136336908577</v>
      </c>
      <c r="G30" s="94">
        <v>10</v>
      </c>
      <c r="H30" s="94">
        <v>15</v>
      </c>
      <c r="I30" s="93">
        <f t="shared" si="1"/>
        <v>50.72045053628655</v>
      </c>
      <c r="J30" s="95" t="s">
        <v>414</v>
      </c>
    </row>
    <row r="31" spans="1:11" ht="12.75">
      <c r="A31" s="91">
        <v>2009.3</v>
      </c>
      <c r="B31" s="85" t="str">
        <f>C31&amp;IF(D31=" ",IF(E31=" ",,E31),D31)&amp;IF(D31=" ",,IF(E31=" ",,E31))</f>
        <v>271EB</v>
      </c>
      <c r="C31" s="85">
        <v>271</v>
      </c>
      <c r="D31" s="213" t="s">
        <v>613</v>
      </c>
      <c r="E31" s="85" t="s">
        <v>409</v>
      </c>
      <c r="F31" s="92">
        <v>24.8888898697112</v>
      </c>
      <c r="G31" s="94">
        <v>15</v>
      </c>
      <c r="H31" s="94">
        <v>30</v>
      </c>
      <c r="I31" s="93">
        <f>(F31*H31/G31)/2</f>
        <v>24.8888898697112</v>
      </c>
      <c r="J31" s="95" t="s">
        <v>414</v>
      </c>
      <c r="K31" s="213" t="s">
        <v>614</v>
      </c>
    </row>
    <row r="32" spans="1:10" ht="12.75">
      <c r="A32" s="91">
        <v>2009.3</v>
      </c>
      <c r="B32" s="85" t="str">
        <f t="shared" si="0"/>
        <v>271</v>
      </c>
      <c r="C32" s="85">
        <v>271</v>
      </c>
      <c r="D32" s="85" t="s">
        <v>409</v>
      </c>
      <c r="E32" s="85" t="s">
        <v>409</v>
      </c>
      <c r="F32" s="92">
        <v>24.8888898697112</v>
      </c>
      <c r="G32" s="94">
        <v>15</v>
      </c>
      <c r="H32" s="94">
        <v>30</v>
      </c>
      <c r="I32" s="93">
        <f t="shared" si="1"/>
        <v>49.7777797394224</v>
      </c>
      <c r="J32" s="95" t="s">
        <v>414</v>
      </c>
    </row>
    <row r="33" spans="1:10" ht="12.75">
      <c r="A33" s="91">
        <v>2009.3</v>
      </c>
      <c r="B33" s="85" t="str">
        <f t="shared" si="0"/>
        <v>11</v>
      </c>
      <c r="C33" s="85">
        <v>11</v>
      </c>
      <c r="D33" s="85" t="s">
        <v>409</v>
      </c>
      <c r="E33" s="85" t="s">
        <v>409</v>
      </c>
      <c r="F33" s="92">
        <v>48.7321474761969</v>
      </c>
      <c r="G33" s="94">
        <v>15</v>
      </c>
      <c r="H33" s="94">
        <v>15</v>
      </c>
      <c r="I33" s="93">
        <f t="shared" si="1"/>
        <v>48.7321474761969</v>
      </c>
      <c r="J33" s="95" t="s">
        <v>410</v>
      </c>
    </row>
    <row r="34" spans="1:10" ht="12.75">
      <c r="A34" s="91">
        <v>2009.3</v>
      </c>
      <c r="B34" s="85" t="str">
        <f t="shared" si="0"/>
        <v>174SH</v>
      </c>
      <c r="C34" s="85">
        <v>174</v>
      </c>
      <c r="D34" s="85" t="s">
        <v>409</v>
      </c>
      <c r="E34" s="85" t="s">
        <v>416</v>
      </c>
      <c r="F34" s="92">
        <v>46.6039589596218</v>
      </c>
      <c r="G34" s="94">
        <v>15</v>
      </c>
      <c r="H34" s="94">
        <v>15</v>
      </c>
      <c r="I34" s="93">
        <f t="shared" si="1"/>
        <v>46.6039589596218</v>
      </c>
      <c r="J34" s="95" t="s">
        <v>410</v>
      </c>
    </row>
    <row r="35" spans="1:10" ht="12.75">
      <c r="A35" s="91">
        <v>2009.3</v>
      </c>
      <c r="B35" s="85" t="str">
        <f aca="true" t="shared" si="2" ref="B35:B66">C35&amp;IF(D35=" ",IF(E35=" ",,E35),D35)&amp;IF(D35=" ",,IF(E35=" ",,E35))</f>
        <v>65</v>
      </c>
      <c r="C35" s="85">
        <v>65</v>
      </c>
      <c r="D35" s="85" t="s">
        <v>409</v>
      </c>
      <c r="E35" s="85" t="s">
        <v>409</v>
      </c>
      <c r="F35" s="92">
        <v>46.5189472937721</v>
      </c>
      <c r="G35" s="94">
        <v>15</v>
      </c>
      <c r="H35" s="94">
        <v>30</v>
      </c>
      <c r="I35" s="93">
        <f aca="true" t="shared" si="3" ref="I35:I66">F35*H35/G35</f>
        <v>93.03789458754422</v>
      </c>
      <c r="J35" s="95" t="s">
        <v>410</v>
      </c>
    </row>
    <row r="36" spans="1:10" s="96" customFormat="1" ht="12.75">
      <c r="A36" s="97">
        <v>2009.3</v>
      </c>
      <c r="B36" s="96" t="str">
        <f t="shared" si="2"/>
        <v>67</v>
      </c>
      <c r="C36" s="96">
        <v>67</v>
      </c>
      <c r="D36" s="96" t="s">
        <v>409</v>
      </c>
      <c r="E36" s="96" t="s">
        <v>409</v>
      </c>
      <c r="F36" s="98">
        <v>45.9299279990178</v>
      </c>
      <c r="G36" s="100">
        <v>15</v>
      </c>
      <c r="H36" s="100">
        <v>30</v>
      </c>
      <c r="I36" s="99">
        <f t="shared" si="3"/>
        <v>91.8598559980356</v>
      </c>
      <c r="J36" s="101" t="s">
        <v>410</v>
      </c>
    </row>
    <row r="37" spans="1:10" ht="12.75">
      <c r="A37" s="91">
        <v>2009.3</v>
      </c>
      <c r="B37" s="85" t="str">
        <f t="shared" si="2"/>
        <v>49</v>
      </c>
      <c r="C37" s="85">
        <v>49</v>
      </c>
      <c r="D37" s="85" t="s">
        <v>409</v>
      </c>
      <c r="E37" s="85" t="s">
        <v>409</v>
      </c>
      <c r="F37" s="92">
        <v>44.9387178688209</v>
      </c>
      <c r="G37" s="94">
        <v>15</v>
      </c>
      <c r="H37" s="94">
        <v>15</v>
      </c>
      <c r="I37" s="93">
        <f t="shared" si="3"/>
        <v>44.938717868820895</v>
      </c>
      <c r="J37" s="95" t="s">
        <v>410</v>
      </c>
    </row>
    <row r="38" spans="1:10" ht="12.75">
      <c r="A38" s="91">
        <v>2009.3</v>
      </c>
      <c r="B38" s="85" t="str">
        <f t="shared" si="2"/>
        <v>8</v>
      </c>
      <c r="C38" s="85">
        <v>8</v>
      </c>
      <c r="D38" s="85" t="s">
        <v>409</v>
      </c>
      <c r="E38" s="85" t="s">
        <v>409</v>
      </c>
      <c r="F38" s="92">
        <v>43.7636695224182</v>
      </c>
      <c r="G38" s="94">
        <v>15</v>
      </c>
      <c r="H38" s="94">
        <v>15</v>
      </c>
      <c r="I38" s="93">
        <f t="shared" si="3"/>
        <v>43.7636695224182</v>
      </c>
      <c r="J38" s="95" t="s">
        <v>410</v>
      </c>
    </row>
    <row r="39" spans="1:10" ht="12.75">
      <c r="A39" s="91">
        <v>2009.3</v>
      </c>
      <c r="B39" s="85" t="str">
        <f t="shared" si="2"/>
        <v>14S</v>
      </c>
      <c r="C39" s="85">
        <v>14</v>
      </c>
      <c r="D39" s="85" t="s">
        <v>411</v>
      </c>
      <c r="E39" s="85" t="s">
        <v>409</v>
      </c>
      <c r="F39" s="92">
        <v>43.2465980898596</v>
      </c>
      <c r="G39" s="94">
        <v>15</v>
      </c>
      <c r="H39" s="94">
        <v>15</v>
      </c>
      <c r="I39" s="93">
        <f t="shared" si="3"/>
        <v>43.2465980898596</v>
      </c>
      <c r="J39" s="95" t="s">
        <v>410</v>
      </c>
    </row>
    <row r="40" spans="1:10" ht="12.75">
      <c r="A40" s="91">
        <v>2009.3</v>
      </c>
      <c r="B40" s="85" t="str">
        <f t="shared" si="2"/>
        <v>204</v>
      </c>
      <c r="C40" s="85">
        <v>204</v>
      </c>
      <c r="D40" s="85" t="s">
        <v>409</v>
      </c>
      <c r="E40" s="85" t="s">
        <v>409</v>
      </c>
      <c r="F40" s="92">
        <v>21.5070643642072</v>
      </c>
      <c r="G40" s="94">
        <v>30</v>
      </c>
      <c r="H40" s="94">
        <v>60</v>
      </c>
      <c r="I40" s="93">
        <f t="shared" si="3"/>
        <v>43.0141287284144</v>
      </c>
      <c r="J40" s="95" t="s">
        <v>410</v>
      </c>
    </row>
    <row r="41" spans="1:11" ht="12.75">
      <c r="A41" s="91">
        <v>2009.3</v>
      </c>
      <c r="B41" s="85" t="str">
        <f t="shared" si="2"/>
        <v>30</v>
      </c>
      <c r="C41" s="85">
        <v>30</v>
      </c>
      <c r="D41" s="85" t="s">
        <v>409</v>
      </c>
      <c r="E41" s="85" t="s">
        <v>409</v>
      </c>
      <c r="F41" s="92">
        <v>34.3952996360999</v>
      </c>
      <c r="G41" s="94">
        <v>30</v>
      </c>
      <c r="H41" s="94">
        <v>60</v>
      </c>
      <c r="I41" s="93">
        <f t="shared" si="3"/>
        <v>68.7905992721998</v>
      </c>
      <c r="J41" s="95" t="s">
        <v>410</v>
      </c>
      <c r="K41" s="213" t="s">
        <v>711</v>
      </c>
    </row>
    <row r="42" spans="1:10" ht="12.75">
      <c r="A42" s="91">
        <v>2009.3</v>
      </c>
      <c r="B42" s="85" t="str">
        <f t="shared" si="2"/>
        <v>24</v>
      </c>
      <c r="C42" s="85">
        <v>24</v>
      </c>
      <c r="D42" s="85" t="s">
        <v>409</v>
      </c>
      <c r="E42" s="85" t="s">
        <v>409</v>
      </c>
      <c r="F42" s="92">
        <v>42.2587488404453</v>
      </c>
      <c r="G42" s="94">
        <v>15</v>
      </c>
      <c r="H42" s="94">
        <v>15</v>
      </c>
      <c r="I42" s="93">
        <f t="shared" si="3"/>
        <v>42.2587488404453</v>
      </c>
      <c r="J42" s="95" t="s">
        <v>410</v>
      </c>
    </row>
    <row r="43" spans="1:10" ht="12.75">
      <c r="A43" s="91">
        <v>2009.3</v>
      </c>
      <c r="B43" s="85" t="str">
        <f t="shared" si="2"/>
        <v>70</v>
      </c>
      <c r="C43" s="85">
        <v>70</v>
      </c>
      <c r="D43" s="85" t="s">
        <v>409</v>
      </c>
      <c r="E43" s="85" t="s">
        <v>409</v>
      </c>
      <c r="F43" s="92">
        <v>31.8833960084827</v>
      </c>
      <c r="G43" s="94">
        <v>12</v>
      </c>
      <c r="H43" s="94">
        <v>15</v>
      </c>
      <c r="I43" s="93">
        <f t="shared" si="3"/>
        <v>39.85424501060337</v>
      </c>
      <c r="J43" s="95" t="s">
        <v>410</v>
      </c>
    </row>
    <row r="44" spans="1:10" ht="12.75">
      <c r="A44" s="91">
        <v>2009.3</v>
      </c>
      <c r="B44" s="85" t="str">
        <f t="shared" si="2"/>
        <v>222</v>
      </c>
      <c r="C44" s="85">
        <v>222</v>
      </c>
      <c r="D44" s="85" t="s">
        <v>409</v>
      </c>
      <c r="E44" s="85" t="s">
        <v>409</v>
      </c>
      <c r="F44" s="92">
        <v>19.438318647297</v>
      </c>
      <c r="G44" s="94">
        <v>30</v>
      </c>
      <c r="H44" s="94">
        <v>60</v>
      </c>
      <c r="I44" s="93">
        <f t="shared" si="3"/>
        <v>38.876637294594</v>
      </c>
      <c r="J44" s="95" t="s">
        <v>410</v>
      </c>
    </row>
    <row r="45" spans="1:10" ht="12.75">
      <c r="A45" s="91">
        <v>2009.3</v>
      </c>
      <c r="B45" s="85" t="str">
        <f t="shared" si="2"/>
        <v>60</v>
      </c>
      <c r="C45" s="85">
        <v>60</v>
      </c>
      <c r="D45" s="85" t="s">
        <v>409</v>
      </c>
      <c r="E45" s="85" t="s">
        <v>409</v>
      </c>
      <c r="F45" s="92">
        <v>38.802928949134</v>
      </c>
      <c r="G45" s="94">
        <v>20</v>
      </c>
      <c r="H45" s="94">
        <v>20</v>
      </c>
      <c r="I45" s="93">
        <f t="shared" si="3"/>
        <v>38.802928949134</v>
      </c>
      <c r="J45" s="95" t="s">
        <v>410</v>
      </c>
    </row>
    <row r="46" spans="1:11" ht="12.75">
      <c r="A46" s="91">
        <v>2009.3</v>
      </c>
      <c r="B46" s="213" t="s">
        <v>609</v>
      </c>
      <c r="C46" s="85">
        <v>5</v>
      </c>
      <c r="F46" s="92">
        <v>38.6020443597499</v>
      </c>
      <c r="G46" s="94">
        <v>30</v>
      </c>
      <c r="H46" s="94">
        <v>60</v>
      </c>
      <c r="I46" s="93">
        <f>F46*0.5/(G46/H46)</f>
        <v>38.6020443597499</v>
      </c>
      <c r="J46" s="214" t="s">
        <v>414</v>
      </c>
      <c r="K46" s="213" t="s">
        <v>610</v>
      </c>
    </row>
    <row r="47" spans="1:10" ht="12.75">
      <c r="A47" s="91">
        <v>2009.3</v>
      </c>
      <c r="B47" s="85" t="str">
        <f t="shared" si="2"/>
        <v>5</v>
      </c>
      <c r="C47" s="85">
        <v>5</v>
      </c>
      <c r="D47" s="85" t="s">
        <v>409</v>
      </c>
      <c r="E47" s="85" t="s">
        <v>409</v>
      </c>
      <c r="F47" s="92">
        <v>38.6020443597499</v>
      </c>
      <c r="G47" s="94">
        <v>15</v>
      </c>
      <c r="H47" s="94">
        <v>15</v>
      </c>
      <c r="I47" s="93">
        <f>F47*H47/G47</f>
        <v>38.6020443597499</v>
      </c>
      <c r="J47" s="95" t="s">
        <v>414</v>
      </c>
    </row>
    <row r="48" spans="1:10" ht="12.75">
      <c r="A48" s="91">
        <v>2009.3</v>
      </c>
      <c r="B48" s="85" t="str">
        <f t="shared" si="2"/>
        <v>253</v>
      </c>
      <c r="C48" s="85">
        <v>253</v>
      </c>
      <c r="D48" s="85" t="s">
        <v>409</v>
      </c>
      <c r="E48" s="85" t="s">
        <v>409</v>
      </c>
      <c r="F48" s="92">
        <v>37.775799128127</v>
      </c>
      <c r="G48" s="94">
        <v>15</v>
      </c>
      <c r="H48" s="94">
        <v>15</v>
      </c>
      <c r="I48" s="93">
        <f t="shared" si="3"/>
        <v>37.775799128127</v>
      </c>
      <c r="J48" s="95" t="s">
        <v>410</v>
      </c>
    </row>
    <row r="49" spans="1:10" ht="12.75">
      <c r="A49" s="91">
        <v>2009.3</v>
      </c>
      <c r="B49" s="85" t="str">
        <f t="shared" si="2"/>
        <v>245</v>
      </c>
      <c r="C49" s="85">
        <v>245</v>
      </c>
      <c r="D49" s="85" t="s">
        <v>409</v>
      </c>
      <c r="E49" s="85" t="s">
        <v>409</v>
      </c>
      <c r="F49" s="92">
        <v>18.7669624559484</v>
      </c>
      <c r="G49" s="94">
        <v>15</v>
      </c>
      <c r="H49" s="94">
        <v>30</v>
      </c>
      <c r="I49" s="93">
        <f t="shared" si="3"/>
        <v>37.5339249118968</v>
      </c>
      <c r="J49" s="95" t="s">
        <v>410</v>
      </c>
    </row>
    <row r="50" spans="1:10" ht="12.75">
      <c r="A50" s="91">
        <v>2009.3</v>
      </c>
      <c r="B50" s="85" t="str">
        <f t="shared" si="2"/>
        <v>346</v>
      </c>
      <c r="C50" s="85">
        <v>346</v>
      </c>
      <c r="D50" s="85" t="s">
        <v>409</v>
      </c>
      <c r="E50" s="85" t="s">
        <v>409</v>
      </c>
      <c r="F50" s="92">
        <v>37.3183404727907</v>
      </c>
      <c r="G50" s="94">
        <v>30</v>
      </c>
      <c r="H50" s="94">
        <v>30</v>
      </c>
      <c r="I50" s="93">
        <f t="shared" si="3"/>
        <v>37.3183404727907</v>
      </c>
      <c r="J50" s="85" t="s">
        <v>414</v>
      </c>
    </row>
    <row r="51" spans="1:10" ht="12.75">
      <c r="A51" s="91">
        <v>2009.3</v>
      </c>
      <c r="B51" s="85" t="str">
        <f t="shared" si="2"/>
        <v>128</v>
      </c>
      <c r="C51" s="85">
        <v>128</v>
      </c>
      <c r="D51" s="85" t="s">
        <v>409</v>
      </c>
      <c r="E51" s="85" t="s">
        <v>409</v>
      </c>
      <c r="F51" s="92">
        <v>36.4972342947452</v>
      </c>
      <c r="G51" s="94">
        <v>30</v>
      </c>
      <c r="H51" s="94">
        <v>30</v>
      </c>
      <c r="I51" s="93">
        <f t="shared" si="3"/>
        <v>36.4972342947452</v>
      </c>
      <c r="J51" s="85" t="s">
        <v>414</v>
      </c>
    </row>
    <row r="52" spans="1:10" ht="12.75">
      <c r="A52" s="91">
        <v>2009.3</v>
      </c>
      <c r="B52" s="85" t="str">
        <f t="shared" si="2"/>
        <v>27</v>
      </c>
      <c r="C52" s="85">
        <v>27</v>
      </c>
      <c r="D52" s="85" t="s">
        <v>409</v>
      </c>
      <c r="E52" s="85" t="s">
        <v>409</v>
      </c>
      <c r="F52" s="92">
        <v>35.0664776030015</v>
      </c>
      <c r="G52" s="94">
        <v>15</v>
      </c>
      <c r="H52" s="94">
        <v>15</v>
      </c>
      <c r="I52" s="93">
        <f t="shared" si="3"/>
        <v>35.0664776030015</v>
      </c>
      <c r="J52" s="95" t="s">
        <v>410</v>
      </c>
    </row>
    <row r="53" spans="1:10" ht="12.75">
      <c r="A53" s="91">
        <v>2009.3</v>
      </c>
      <c r="B53" s="85" t="str">
        <f t="shared" si="2"/>
        <v>248</v>
      </c>
      <c r="C53" s="85">
        <v>248</v>
      </c>
      <c r="D53" s="85" t="s">
        <v>409</v>
      </c>
      <c r="E53" s="85" t="s">
        <v>409</v>
      </c>
      <c r="F53" s="92">
        <v>17.1966379515035</v>
      </c>
      <c r="G53" s="94">
        <v>30</v>
      </c>
      <c r="H53" s="94">
        <v>30</v>
      </c>
      <c r="I53" s="93">
        <f t="shared" si="3"/>
        <v>17.1966379515035</v>
      </c>
      <c r="J53" s="95" t="s">
        <v>410</v>
      </c>
    </row>
    <row r="54" spans="1:10" ht="12.75">
      <c r="A54" s="91">
        <v>2009.3</v>
      </c>
      <c r="B54" s="85" t="str">
        <f t="shared" si="2"/>
        <v>125TB</v>
      </c>
      <c r="C54" s="85">
        <v>125</v>
      </c>
      <c r="D54" s="85" t="s">
        <v>409</v>
      </c>
      <c r="E54" s="85" t="s">
        <v>412</v>
      </c>
      <c r="F54" s="92">
        <v>34.3779729101633</v>
      </c>
      <c r="G54" s="94">
        <v>15</v>
      </c>
      <c r="H54" s="94">
        <v>30</v>
      </c>
      <c r="I54" s="93">
        <f t="shared" si="3"/>
        <v>68.7559458203266</v>
      </c>
      <c r="J54" s="95" t="s">
        <v>414</v>
      </c>
    </row>
    <row r="55" spans="1:10" ht="12.75">
      <c r="A55" s="91">
        <v>2009.3</v>
      </c>
      <c r="B55" s="85" t="str">
        <f t="shared" si="2"/>
        <v>166</v>
      </c>
      <c r="C55" s="85">
        <v>166</v>
      </c>
      <c r="D55" s="85" t="s">
        <v>409</v>
      </c>
      <c r="E55" s="85" t="s">
        <v>409</v>
      </c>
      <c r="F55" s="92">
        <v>34.3324404356989</v>
      </c>
      <c r="G55" s="94">
        <v>30</v>
      </c>
      <c r="H55" s="94">
        <v>30</v>
      </c>
      <c r="I55" s="93">
        <f t="shared" si="3"/>
        <v>34.3324404356989</v>
      </c>
      <c r="J55" s="95" t="s">
        <v>410</v>
      </c>
    </row>
    <row r="56" spans="1:10" ht="12.75">
      <c r="A56" s="91">
        <v>2009.3</v>
      </c>
      <c r="B56" s="85" t="str">
        <f t="shared" si="2"/>
        <v>56</v>
      </c>
      <c r="C56" s="85">
        <v>56</v>
      </c>
      <c r="D56" s="85" t="s">
        <v>409</v>
      </c>
      <c r="E56" s="85" t="s">
        <v>409</v>
      </c>
      <c r="F56" s="92">
        <v>33.1230582283214</v>
      </c>
      <c r="G56" s="94">
        <v>30</v>
      </c>
      <c r="H56" s="94">
        <v>60</v>
      </c>
      <c r="I56" s="93">
        <f t="shared" si="3"/>
        <v>66.2461164566428</v>
      </c>
      <c r="J56" s="95" t="s">
        <v>410</v>
      </c>
    </row>
    <row r="57" spans="1:10" ht="12.75">
      <c r="A57" s="91">
        <v>2009.3</v>
      </c>
      <c r="B57" s="85" t="str">
        <f t="shared" si="2"/>
        <v>23</v>
      </c>
      <c r="C57" s="85">
        <v>23</v>
      </c>
      <c r="D57" s="85" t="s">
        <v>409</v>
      </c>
      <c r="E57" s="85" t="s">
        <v>409</v>
      </c>
      <c r="F57" s="92">
        <v>32.0919940476191</v>
      </c>
      <c r="G57" s="94">
        <v>30</v>
      </c>
      <c r="H57" s="94">
        <v>30</v>
      </c>
      <c r="I57" s="93">
        <f t="shared" si="3"/>
        <v>32.0919940476191</v>
      </c>
      <c r="J57" s="95" t="s">
        <v>414</v>
      </c>
    </row>
    <row r="58" spans="1:10" ht="12.75">
      <c r="A58" s="91">
        <v>2009.3</v>
      </c>
      <c r="B58" s="85" t="str">
        <f t="shared" si="2"/>
        <v>347</v>
      </c>
      <c r="C58" s="85">
        <v>347</v>
      </c>
      <c r="D58" s="85" t="s">
        <v>409</v>
      </c>
      <c r="E58" s="85" t="s">
        <v>409</v>
      </c>
      <c r="F58" s="92">
        <v>31.8394653606775</v>
      </c>
      <c r="G58" s="94">
        <v>30</v>
      </c>
      <c r="H58" s="94">
        <v>60</v>
      </c>
      <c r="I58" s="93">
        <f t="shared" si="3"/>
        <v>63.678930721355</v>
      </c>
      <c r="J58" s="85" t="s">
        <v>414</v>
      </c>
    </row>
    <row r="59" spans="1:10" ht="12.75">
      <c r="A59" s="91">
        <v>2009.3</v>
      </c>
      <c r="B59" s="85" t="str">
        <f t="shared" si="2"/>
        <v>187</v>
      </c>
      <c r="C59" s="85">
        <v>187</v>
      </c>
      <c r="D59" s="85" t="s">
        <v>409</v>
      </c>
      <c r="E59" s="85" t="s">
        <v>409</v>
      </c>
      <c r="F59" s="92">
        <v>31.7525532736582</v>
      </c>
      <c r="G59" s="94">
        <v>30</v>
      </c>
      <c r="H59" s="94">
        <v>60</v>
      </c>
      <c r="I59" s="93">
        <f t="shared" si="3"/>
        <v>63.5051065473164</v>
      </c>
      <c r="J59" s="95" t="s">
        <v>410</v>
      </c>
    </row>
    <row r="60" spans="1:10" s="96" customFormat="1" ht="12.75">
      <c r="A60" s="91">
        <v>2009.3</v>
      </c>
      <c r="B60" s="85" t="str">
        <f t="shared" si="2"/>
        <v>21</v>
      </c>
      <c r="C60" s="85">
        <v>21</v>
      </c>
      <c r="D60" s="85" t="s">
        <v>409</v>
      </c>
      <c r="E60" s="85" t="s">
        <v>409</v>
      </c>
      <c r="F60" s="92">
        <v>31.4612081987302</v>
      </c>
      <c r="G60" s="94">
        <v>30</v>
      </c>
      <c r="H60" s="94">
        <v>30</v>
      </c>
      <c r="I60" s="93">
        <f t="shared" si="3"/>
        <v>31.4612081987302</v>
      </c>
      <c r="J60" s="95" t="s">
        <v>410</v>
      </c>
    </row>
    <row r="61" spans="1:10" ht="12.75">
      <c r="A61" s="91">
        <v>2009.3</v>
      </c>
      <c r="B61" s="85" t="str">
        <f t="shared" si="2"/>
        <v>221</v>
      </c>
      <c r="C61" s="85">
        <v>221</v>
      </c>
      <c r="D61" s="85" t="s">
        <v>409</v>
      </c>
      <c r="E61" s="85" t="s">
        <v>409</v>
      </c>
      <c r="F61" s="92">
        <v>15.3927020490002</v>
      </c>
      <c r="G61" s="94">
        <v>30</v>
      </c>
      <c r="H61" s="94">
        <v>60</v>
      </c>
      <c r="I61" s="93">
        <f t="shared" si="3"/>
        <v>30.7854040980004</v>
      </c>
      <c r="J61" s="95" t="s">
        <v>410</v>
      </c>
    </row>
    <row r="62" spans="1:10" ht="12.75">
      <c r="A62" s="91">
        <v>2009.3</v>
      </c>
      <c r="B62" s="85" t="str">
        <f t="shared" si="2"/>
        <v>234</v>
      </c>
      <c r="C62" s="85">
        <v>234</v>
      </c>
      <c r="D62" s="85" t="s">
        <v>409</v>
      </c>
      <c r="E62" s="85" t="s">
        <v>409</v>
      </c>
      <c r="F62" s="92">
        <v>14.9069142610633</v>
      </c>
      <c r="G62" s="94">
        <v>30</v>
      </c>
      <c r="H62" s="94">
        <v>60</v>
      </c>
      <c r="I62" s="93">
        <f t="shared" si="3"/>
        <v>29.8138285221266</v>
      </c>
      <c r="J62" s="95" t="s">
        <v>410</v>
      </c>
    </row>
    <row r="63" spans="1:10" ht="12.75">
      <c r="A63" s="91">
        <v>2009.3</v>
      </c>
      <c r="B63" s="85" t="str">
        <f t="shared" si="2"/>
        <v>124</v>
      </c>
      <c r="C63" s="85">
        <v>124</v>
      </c>
      <c r="D63" s="85" t="s">
        <v>409</v>
      </c>
      <c r="E63" s="85" t="s">
        <v>409</v>
      </c>
      <c r="F63" s="92">
        <v>29.4030209499514</v>
      </c>
      <c r="G63" s="94">
        <v>15</v>
      </c>
      <c r="H63" s="94">
        <v>15</v>
      </c>
      <c r="I63" s="93">
        <f t="shared" si="3"/>
        <v>29.4030209499514</v>
      </c>
      <c r="J63" s="95" t="s">
        <v>414</v>
      </c>
    </row>
    <row r="64" spans="1:10" ht="12.75">
      <c r="A64" s="91">
        <v>2009.3</v>
      </c>
      <c r="B64" s="85" t="str">
        <f t="shared" si="2"/>
        <v>150TB</v>
      </c>
      <c r="C64" s="85">
        <v>150</v>
      </c>
      <c r="D64" s="85" t="s">
        <v>409</v>
      </c>
      <c r="E64" s="85" t="s">
        <v>412</v>
      </c>
      <c r="F64" s="92">
        <v>28.9707409358588</v>
      </c>
      <c r="G64" s="94">
        <v>15</v>
      </c>
      <c r="H64" s="94">
        <v>15</v>
      </c>
      <c r="I64" s="93">
        <f t="shared" si="3"/>
        <v>28.970740935858803</v>
      </c>
      <c r="J64" s="95" t="s">
        <v>414</v>
      </c>
    </row>
    <row r="65" spans="1:10" ht="12.75">
      <c r="A65" s="91">
        <v>2009.3</v>
      </c>
      <c r="B65" s="85" t="str">
        <f t="shared" si="2"/>
        <v>148</v>
      </c>
      <c r="C65" s="85">
        <v>148</v>
      </c>
      <c r="D65" s="85" t="s">
        <v>409</v>
      </c>
      <c r="E65" s="85" t="s">
        <v>409</v>
      </c>
      <c r="F65" s="92">
        <v>27.206008776685</v>
      </c>
      <c r="G65" s="94">
        <v>30</v>
      </c>
      <c r="H65" s="94">
        <v>30</v>
      </c>
      <c r="I65" s="93">
        <f t="shared" si="3"/>
        <v>27.206008776685</v>
      </c>
      <c r="J65" s="95" t="s">
        <v>410</v>
      </c>
    </row>
    <row r="66" spans="1:10" ht="12.75">
      <c r="A66" s="91">
        <v>2009.3</v>
      </c>
      <c r="B66" s="85" t="str">
        <f t="shared" si="2"/>
        <v>249</v>
      </c>
      <c r="C66" s="85">
        <v>249</v>
      </c>
      <c r="D66" s="85" t="s">
        <v>409</v>
      </c>
      <c r="E66" s="85" t="s">
        <v>409</v>
      </c>
      <c r="F66" s="92">
        <v>13.5322765369178</v>
      </c>
      <c r="G66" s="94">
        <v>30</v>
      </c>
      <c r="H66" s="94">
        <v>60</v>
      </c>
      <c r="I66" s="93">
        <f t="shared" si="3"/>
        <v>27.0645530738356</v>
      </c>
      <c r="J66" s="95" t="s">
        <v>410</v>
      </c>
    </row>
    <row r="67" spans="1:10" ht="12.75">
      <c r="A67" s="91">
        <v>2009.3</v>
      </c>
      <c r="B67" s="85" t="str">
        <f aca="true" t="shared" si="4" ref="B67:B98">C67&amp;IF(D67=" ",IF(E67=" ",,E67),D67)&amp;IF(D67=" ",,IF(E67=" ",,E67))</f>
        <v>16</v>
      </c>
      <c r="C67" s="85">
        <v>16</v>
      </c>
      <c r="D67" s="85" t="s">
        <v>409</v>
      </c>
      <c r="E67" s="85" t="s">
        <v>409</v>
      </c>
      <c r="F67" s="92">
        <v>35.7962262459432</v>
      </c>
      <c r="G67" s="94">
        <v>20</v>
      </c>
      <c r="H67" s="94">
        <v>30</v>
      </c>
      <c r="I67" s="93">
        <f aca="true" t="shared" si="5" ref="I67:I98">F67*H67/G67</f>
        <v>53.694339368914804</v>
      </c>
      <c r="J67" s="95" t="s">
        <v>410</v>
      </c>
    </row>
    <row r="68" spans="1:10" ht="12.75">
      <c r="A68" s="91">
        <v>2009.3</v>
      </c>
      <c r="B68" s="85" t="str">
        <f t="shared" si="4"/>
        <v>164</v>
      </c>
      <c r="C68" s="85">
        <v>164</v>
      </c>
      <c r="D68" s="85" t="s">
        <v>409</v>
      </c>
      <c r="E68" s="85" t="s">
        <v>409</v>
      </c>
      <c r="F68" s="92">
        <v>51.9562152133581</v>
      </c>
      <c r="G68" s="94">
        <v>60</v>
      </c>
      <c r="H68" s="94">
        <v>30</v>
      </c>
      <c r="I68" s="93">
        <f t="shared" si="5"/>
        <v>25.97810760667905</v>
      </c>
      <c r="J68" s="95" t="s">
        <v>410</v>
      </c>
    </row>
    <row r="69" spans="1:10" ht="12.75">
      <c r="A69" s="91">
        <v>2009.3</v>
      </c>
      <c r="B69" s="85" t="str">
        <f t="shared" si="4"/>
        <v>240</v>
      </c>
      <c r="C69" s="85">
        <v>240</v>
      </c>
      <c r="D69" s="85" t="s">
        <v>409</v>
      </c>
      <c r="E69" s="85" t="s">
        <v>409</v>
      </c>
      <c r="F69" s="92">
        <v>25.7947546403631</v>
      </c>
      <c r="G69" s="94">
        <v>30</v>
      </c>
      <c r="H69" s="94">
        <v>30</v>
      </c>
      <c r="I69" s="93">
        <f t="shared" si="5"/>
        <v>25.7947546403631</v>
      </c>
      <c r="J69" s="95" t="s">
        <v>410</v>
      </c>
    </row>
    <row r="70" spans="1:10" ht="12.75">
      <c r="A70" s="91">
        <v>2009.3</v>
      </c>
      <c r="B70" s="85" t="str">
        <f t="shared" si="4"/>
        <v>153</v>
      </c>
      <c r="C70" s="85">
        <v>153</v>
      </c>
      <c r="D70" s="85" t="s">
        <v>409</v>
      </c>
      <c r="E70" s="85" t="s">
        <v>409</v>
      </c>
      <c r="F70" s="92">
        <v>25.3827349881323</v>
      </c>
      <c r="G70" s="94">
        <v>30</v>
      </c>
      <c r="H70" s="94">
        <v>30</v>
      </c>
      <c r="I70" s="93">
        <f t="shared" si="5"/>
        <v>25.3827349881323</v>
      </c>
      <c r="J70" s="95" t="s">
        <v>410</v>
      </c>
    </row>
    <row r="71" spans="1:10" ht="12.75">
      <c r="A71" s="91">
        <v>2009.3</v>
      </c>
      <c r="B71" s="85" t="str">
        <f t="shared" si="4"/>
        <v>39</v>
      </c>
      <c r="C71" s="85">
        <v>39</v>
      </c>
      <c r="D71" s="85" t="s">
        <v>409</v>
      </c>
      <c r="E71" s="85" t="s">
        <v>409</v>
      </c>
      <c r="F71" s="92">
        <v>24.992930069021</v>
      </c>
      <c r="G71" s="94">
        <v>30</v>
      </c>
      <c r="H71" s="94">
        <v>60</v>
      </c>
      <c r="I71" s="93">
        <f t="shared" si="5"/>
        <v>49.985860138042</v>
      </c>
      <c r="J71" s="95" t="s">
        <v>410</v>
      </c>
    </row>
    <row r="72" spans="1:10" ht="12.75">
      <c r="A72" s="91">
        <v>2009.3</v>
      </c>
      <c r="B72" s="85" t="str">
        <f t="shared" si="4"/>
        <v>140</v>
      </c>
      <c r="C72" s="85">
        <v>140</v>
      </c>
      <c r="D72" s="85" t="s">
        <v>409</v>
      </c>
      <c r="E72" s="85" t="s">
        <v>409</v>
      </c>
      <c r="F72" s="92">
        <v>24.9424396734092</v>
      </c>
      <c r="G72" s="94">
        <v>15</v>
      </c>
      <c r="H72" s="94">
        <v>15</v>
      </c>
      <c r="I72" s="93">
        <f t="shared" si="5"/>
        <v>24.9424396734092</v>
      </c>
      <c r="J72" s="95" t="s">
        <v>410</v>
      </c>
    </row>
    <row r="73" spans="1:10" ht="12.75">
      <c r="A73" s="91">
        <v>2009.3</v>
      </c>
      <c r="B73" s="85" t="str">
        <f t="shared" si="4"/>
        <v>230W</v>
      </c>
      <c r="C73" s="85">
        <v>230</v>
      </c>
      <c r="D73" s="85" t="s">
        <v>417</v>
      </c>
      <c r="E73" s="85" t="s">
        <v>409</v>
      </c>
      <c r="F73" s="92">
        <v>24.6286939586096</v>
      </c>
      <c r="G73" s="94">
        <v>60</v>
      </c>
      <c r="H73" s="94">
        <v>60</v>
      </c>
      <c r="I73" s="93">
        <f t="shared" si="5"/>
        <v>24.6286939586096</v>
      </c>
      <c r="J73" s="95" t="s">
        <v>410</v>
      </c>
    </row>
    <row r="74" spans="1:10" ht="12.75">
      <c r="A74" s="91">
        <v>2009.3</v>
      </c>
      <c r="B74" s="85" t="str">
        <f t="shared" si="4"/>
        <v>269</v>
      </c>
      <c r="C74" s="85">
        <v>269</v>
      </c>
      <c r="D74" s="85" t="s">
        <v>409</v>
      </c>
      <c r="E74" s="85" t="s">
        <v>409</v>
      </c>
      <c r="F74" s="92">
        <v>7.97848139629356</v>
      </c>
      <c r="G74" s="94">
        <v>20</v>
      </c>
      <c r="H74" s="94">
        <v>30</v>
      </c>
      <c r="I74" s="93">
        <f t="shared" si="5"/>
        <v>11.96772209444034</v>
      </c>
      <c r="J74" s="95" t="s">
        <v>410</v>
      </c>
    </row>
    <row r="75" spans="1:10" ht="12.75">
      <c r="A75" s="91">
        <v>2009.3</v>
      </c>
      <c r="B75" s="85" t="str">
        <f t="shared" si="4"/>
        <v>183</v>
      </c>
      <c r="C75" s="85">
        <v>183</v>
      </c>
      <c r="D75" s="85" t="s">
        <v>409</v>
      </c>
      <c r="E75" s="85" t="s">
        <v>409</v>
      </c>
      <c r="F75" s="92">
        <v>23.8808254301793</v>
      </c>
      <c r="G75" s="94">
        <v>30</v>
      </c>
      <c r="H75" s="94">
        <v>15</v>
      </c>
      <c r="I75" s="93">
        <f t="shared" si="5"/>
        <v>11.94041271508965</v>
      </c>
      <c r="J75" s="95" t="s">
        <v>410</v>
      </c>
    </row>
    <row r="76" spans="1:10" ht="12.75">
      <c r="A76" s="91">
        <v>2009.3</v>
      </c>
      <c r="B76" s="85" t="str">
        <f t="shared" si="4"/>
        <v>105</v>
      </c>
      <c r="C76" s="85">
        <v>105</v>
      </c>
      <c r="D76" s="85" t="s">
        <v>409</v>
      </c>
      <c r="E76" s="85" t="s">
        <v>409</v>
      </c>
      <c r="F76" s="92">
        <v>46.9225003747564</v>
      </c>
      <c r="G76" s="94">
        <v>30</v>
      </c>
      <c r="H76" s="94">
        <v>15</v>
      </c>
      <c r="I76" s="93">
        <f t="shared" si="5"/>
        <v>23.4612501873782</v>
      </c>
      <c r="J76" s="95" t="s">
        <v>410</v>
      </c>
    </row>
    <row r="77" spans="1:10" ht="12.75">
      <c r="A77" s="91">
        <v>2009.3</v>
      </c>
      <c r="B77" s="85" t="str">
        <f t="shared" si="4"/>
        <v>238</v>
      </c>
      <c r="C77" s="85">
        <v>238</v>
      </c>
      <c r="D77" s="85" t="s">
        <v>409</v>
      </c>
      <c r="E77" s="85" t="s">
        <v>409</v>
      </c>
      <c r="F77" s="92">
        <v>11.4138283997085</v>
      </c>
      <c r="G77" s="94">
        <v>30</v>
      </c>
      <c r="H77" s="94">
        <v>60</v>
      </c>
      <c r="I77" s="93">
        <f t="shared" si="5"/>
        <v>22.827656799417</v>
      </c>
      <c r="J77" s="95" t="s">
        <v>410</v>
      </c>
    </row>
    <row r="78" spans="1:10" ht="12.75">
      <c r="A78" s="91">
        <v>2009.3</v>
      </c>
      <c r="B78" s="85" t="str">
        <f>C78&amp;IF(D78=" ",IF(E78=" ",,E78),D78)&amp;IF(D78=" ",,IF(E78=" ",,E78))</f>
        <v>330</v>
      </c>
      <c r="C78" s="85">
        <v>330</v>
      </c>
      <c r="D78" s="85" t="s">
        <v>409</v>
      </c>
      <c r="E78" s="85" t="s">
        <v>409</v>
      </c>
      <c r="F78" s="92">
        <v>22.8031115115584</v>
      </c>
      <c r="G78" s="94">
        <v>30</v>
      </c>
      <c r="H78" s="94">
        <v>60</v>
      </c>
      <c r="I78" s="93">
        <f t="shared" si="5"/>
        <v>45.60622302311679</v>
      </c>
      <c r="J78" s="85" t="s">
        <v>414</v>
      </c>
    </row>
    <row r="79" spans="1:10" ht="12.75">
      <c r="A79" s="91">
        <v>2009.3</v>
      </c>
      <c r="B79" s="85" t="str">
        <f t="shared" si="4"/>
        <v>169</v>
      </c>
      <c r="C79" s="85">
        <v>169</v>
      </c>
      <c r="D79" s="85" t="s">
        <v>409</v>
      </c>
      <c r="E79" s="85" t="s">
        <v>409</v>
      </c>
      <c r="F79" s="92">
        <v>45.5514304798679</v>
      </c>
      <c r="G79" s="94">
        <v>30</v>
      </c>
      <c r="H79" s="94">
        <v>15</v>
      </c>
      <c r="I79" s="93">
        <f t="shared" si="5"/>
        <v>22.77571523993395</v>
      </c>
      <c r="J79" s="95" t="s">
        <v>410</v>
      </c>
    </row>
    <row r="80" spans="1:10" ht="12.75">
      <c r="A80" s="91">
        <v>2009.3</v>
      </c>
      <c r="B80" s="85" t="str">
        <f t="shared" si="4"/>
        <v>75</v>
      </c>
      <c r="C80" s="85">
        <v>75</v>
      </c>
      <c r="D80" s="85" t="s">
        <v>409</v>
      </c>
      <c r="E80" s="85" t="s">
        <v>409</v>
      </c>
      <c r="F80" s="92">
        <v>44.1268343165126</v>
      </c>
      <c r="G80" s="94">
        <v>30</v>
      </c>
      <c r="H80" s="94">
        <v>15</v>
      </c>
      <c r="I80" s="93">
        <f t="shared" si="5"/>
        <v>22.0634171582563</v>
      </c>
      <c r="J80" s="85" t="s">
        <v>410</v>
      </c>
    </row>
    <row r="81" spans="1:10" ht="12.75">
      <c r="A81" s="91">
        <v>2009.3</v>
      </c>
      <c r="B81" s="85" t="str">
        <f t="shared" si="4"/>
        <v>901DART</v>
      </c>
      <c r="C81" s="85">
        <v>901</v>
      </c>
      <c r="D81" s="85" t="s">
        <v>409</v>
      </c>
      <c r="E81" s="85" t="s">
        <v>418</v>
      </c>
      <c r="F81" s="92">
        <v>20.7641473491691</v>
      </c>
      <c r="G81" s="94">
        <v>30</v>
      </c>
      <c r="H81" s="94">
        <v>30</v>
      </c>
      <c r="I81" s="93">
        <f t="shared" si="5"/>
        <v>20.7641473491691</v>
      </c>
      <c r="J81" s="95" t="s">
        <v>410</v>
      </c>
    </row>
    <row r="82" spans="1:10" ht="12.75">
      <c r="A82" s="91">
        <v>2009.3</v>
      </c>
      <c r="B82" s="85" t="str">
        <f t="shared" si="4"/>
        <v>331</v>
      </c>
      <c r="C82" s="85">
        <v>331</v>
      </c>
      <c r="D82" s="85" t="s">
        <v>409</v>
      </c>
      <c r="E82" s="85" t="s">
        <v>409</v>
      </c>
      <c r="F82" s="92">
        <v>20.7325806206994</v>
      </c>
      <c r="G82" s="94">
        <v>30</v>
      </c>
      <c r="H82" s="94">
        <v>60</v>
      </c>
      <c r="I82" s="93">
        <f t="shared" si="5"/>
        <v>41.4651612413988</v>
      </c>
      <c r="J82" s="85" t="s">
        <v>410</v>
      </c>
    </row>
    <row r="83" spans="1:10" ht="12.75">
      <c r="A83" s="91">
        <v>2009.3</v>
      </c>
      <c r="B83" s="85" t="str">
        <f t="shared" si="4"/>
        <v>903DART</v>
      </c>
      <c r="C83" s="85">
        <v>903</v>
      </c>
      <c r="D83" s="85" t="s">
        <v>409</v>
      </c>
      <c r="E83" s="85" t="s">
        <v>418</v>
      </c>
      <c r="F83" s="92">
        <v>20.1739253570532</v>
      </c>
      <c r="G83" s="94">
        <v>30</v>
      </c>
      <c r="H83" s="94">
        <v>30</v>
      </c>
      <c r="I83" s="93">
        <f t="shared" si="5"/>
        <v>20.1739253570532</v>
      </c>
      <c r="J83" s="95" t="s">
        <v>410</v>
      </c>
    </row>
    <row r="84" spans="1:10" ht="12.75">
      <c r="A84" s="91">
        <v>2009.3</v>
      </c>
      <c r="B84" s="85" t="str">
        <f t="shared" si="4"/>
        <v>345</v>
      </c>
      <c r="C84" s="85">
        <v>345</v>
      </c>
      <c r="D84" s="85" t="s">
        <v>409</v>
      </c>
      <c r="E84" s="85" t="s">
        <v>409</v>
      </c>
      <c r="F84" s="92">
        <v>39.5812539501315</v>
      </c>
      <c r="G84" s="94">
        <v>30</v>
      </c>
      <c r="H84" s="94">
        <v>15</v>
      </c>
      <c r="I84" s="93">
        <f t="shared" si="5"/>
        <v>19.790626975065752</v>
      </c>
      <c r="J84" s="85" t="s">
        <v>414</v>
      </c>
    </row>
    <row r="85" spans="1:10" ht="12.75">
      <c r="A85" s="91">
        <v>2009.3</v>
      </c>
      <c r="B85" s="85" t="str">
        <f t="shared" si="4"/>
        <v>233</v>
      </c>
      <c r="C85" s="85">
        <v>233</v>
      </c>
      <c r="D85" s="85" t="s">
        <v>409</v>
      </c>
      <c r="E85" s="85" t="s">
        <v>409</v>
      </c>
      <c r="F85" s="92">
        <v>19.1408142082805</v>
      </c>
      <c r="G85" s="94">
        <v>30</v>
      </c>
      <c r="H85" s="94">
        <v>60</v>
      </c>
      <c r="I85" s="93">
        <f t="shared" si="5"/>
        <v>38.281628416561</v>
      </c>
      <c r="J85" s="95" t="s">
        <v>410</v>
      </c>
    </row>
    <row r="86" spans="1:10" ht="12.75">
      <c r="A86" s="91">
        <v>2009.3</v>
      </c>
      <c r="B86" s="85" t="str">
        <f t="shared" si="4"/>
        <v>25</v>
      </c>
      <c r="C86" s="85">
        <v>25</v>
      </c>
      <c r="D86" s="85" t="s">
        <v>409</v>
      </c>
      <c r="E86" s="85" t="s">
        <v>409</v>
      </c>
      <c r="F86" s="92">
        <v>18.0588429334511</v>
      </c>
      <c r="G86" s="94">
        <v>30</v>
      </c>
      <c r="H86" s="94">
        <v>30</v>
      </c>
      <c r="I86" s="93">
        <f t="shared" si="5"/>
        <v>18.0588429334511</v>
      </c>
      <c r="J86" s="95" t="s">
        <v>410</v>
      </c>
    </row>
    <row r="87" spans="1:10" ht="12.75">
      <c r="A87" s="91">
        <v>2009.3</v>
      </c>
      <c r="B87" s="85" t="str">
        <f t="shared" si="4"/>
        <v>236</v>
      </c>
      <c r="C87" s="85">
        <v>236</v>
      </c>
      <c r="D87" s="85" t="s">
        <v>409</v>
      </c>
      <c r="E87" s="85" t="s">
        <v>409</v>
      </c>
      <c r="F87" s="92">
        <v>8.90910435424436</v>
      </c>
      <c r="G87" s="94">
        <v>30</v>
      </c>
      <c r="H87" s="94">
        <v>60</v>
      </c>
      <c r="I87" s="93">
        <f t="shared" si="5"/>
        <v>17.81820870848872</v>
      </c>
      <c r="J87" s="95" t="s">
        <v>410</v>
      </c>
    </row>
    <row r="88" spans="1:10" ht="12.75">
      <c r="A88" s="91">
        <v>2009.3</v>
      </c>
      <c r="B88" s="85" t="str">
        <f t="shared" si="4"/>
        <v>132TB</v>
      </c>
      <c r="C88" s="85">
        <v>132</v>
      </c>
      <c r="D88" s="85" t="s">
        <v>409</v>
      </c>
      <c r="E88" s="85" t="s">
        <v>412</v>
      </c>
      <c r="F88" s="92">
        <v>23.4828298487691</v>
      </c>
      <c r="G88" s="94">
        <v>20</v>
      </c>
      <c r="H88" s="94">
        <v>15</v>
      </c>
      <c r="I88" s="93">
        <f t="shared" si="5"/>
        <v>17.612122386576825</v>
      </c>
      <c r="J88" s="95" t="s">
        <v>414</v>
      </c>
    </row>
    <row r="89" spans="1:10" ht="12.75">
      <c r="A89" s="91">
        <v>2009.3</v>
      </c>
      <c r="B89" s="85" t="str">
        <f t="shared" si="4"/>
        <v>180</v>
      </c>
      <c r="C89" s="85">
        <v>180</v>
      </c>
      <c r="D89" s="85" t="s">
        <v>409</v>
      </c>
      <c r="E89" s="85" t="s">
        <v>409</v>
      </c>
      <c r="F89" s="92">
        <v>33.1048644350749</v>
      </c>
      <c r="G89" s="94">
        <v>30</v>
      </c>
      <c r="H89" s="94">
        <v>15</v>
      </c>
      <c r="I89" s="93">
        <f t="shared" si="5"/>
        <v>16.55243221753745</v>
      </c>
      <c r="J89" s="95" t="s">
        <v>410</v>
      </c>
    </row>
    <row r="90" spans="1:10" ht="12.75">
      <c r="A90" s="91">
        <v>2009.3</v>
      </c>
      <c r="B90" s="85" t="str">
        <f t="shared" si="4"/>
        <v>182</v>
      </c>
      <c r="C90" s="85">
        <v>182</v>
      </c>
      <c r="D90" s="85" t="s">
        <v>409</v>
      </c>
      <c r="E90" s="85" t="s">
        <v>409</v>
      </c>
      <c r="F90" s="92">
        <v>16.3877016849776</v>
      </c>
      <c r="G90" s="94">
        <v>30</v>
      </c>
      <c r="H90" s="94">
        <v>30</v>
      </c>
      <c r="I90" s="93">
        <f t="shared" si="5"/>
        <v>16.3877016849776</v>
      </c>
      <c r="J90" s="85" t="s">
        <v>410</v>
      </c>
    </row>
    <row r="91" spans="1:10" ht="12.75">
      <c r="A91" s="91">
        <v>2009.3</v>
      </c>
      <c r="B91" s="85" t="str">
        <f t="shared" si="4"/>
        <v>168</v>
      </c>
      <c r="C91" s="85">
        <v>168</v>
      </c>
      <c r="D91" s="85" t="s">
        <v>409</v>
      </c>
      <c r="E91" s="85" t="s">
        <v>409</v>
      </c>
      <c r="F91" s="92">
        <v>32.144308907721</v>
      </c>
      <c r="G91" s="94">
        <v>60</v>
      </c>
      <c r="H91" s="94">
        <v>30</v>
      </c>
      <c r="I91" s="93">
        <f t="shared" si="5"/>
        <v>16.0721544538605</v>
      </c>
      <c r="J91" s="95" t="s">
        <v>410</v>
      </c>
    </row>
    <row r="92" spans="1:10" ht="12.75">
      <c r="A92" s="91">
        <v>2009.3</v>
      </c>
      <c r="B92" s="85" t="str">
        <f t="shared" si="4"/>
        <v>181</v>
      </c>
      <c r="C92" s="85">
        <v>181</v>
      </c>
      <c r="D92" s="85" t="s">
        <v>409</v>
      </c>
      <c r="E92" s="85" t="s">
        <v>409</v>
      </c>
      <c r="F92" s="92">
        <v>30.7779047680371</v>
      </c>
      <c r="G92" s="94">
        <v>30</v>
      </c>
      <c r="H92" s="94">
        <v>30</v>
      </c>
      <c r="I92" s="93">
        <f t="shared" si="5"/>
        <v>30.7779047680371</v>
      </c>
      <c r="J92" s="85" t="s">
        <v>410</v>
      </c>
    </row>
    <row r="93" spans="1:10" ht="12.75">
      <c r="A93" s="91">
        <v>2009.3</v>
      </c>
      <c r="B93" s="85" t="str">
        <f t="shared" si="4"/>
        <v>348</v>
      </c>
      <c r="C93" s="85">
        <v>348</v>
      </c>
      <c r="D93" s="85" t="s">
        <v>409</v>
      </c>
      <c r="E93" s="85" t="s">
        <v>409</v>
      </c>
      <c r="F93" s="92">
        <v>30.5499884473815</v>
      </c>
      <c r="G93" s="94">
        <v>30</v>
      </c>
      <c r="H93" s="94">
        <v>30</v>
      </c>
      <c r="I93" s="93">
        <f t="shared" si="5"/>
        <v>30.5499884473815</v>
      </c>
      <c r="J93" s="85" t="s">
        <v>414</v>
      </c>
    </row>
    <row r="94" spans="1:10" ht="12.75">
      <c r="A94" s="91">
        <v>2009.3</v>
      </c>
      <c r="B94" s="85" t="str">
        <f t="shared" si="4"/>
        <v>917DART</v>
      </c>
      <c r="C94" s="85">
        <v>917</v>
      </c>
      <c r="D94" s="85" t="s">
        <v>409</v>
      </c>
      <c r="E94" s="85" t="s">
        <v>418</v>
      </c>
      <c r="F94" s="92">
        <v>14.5153697319819</v>
      </c>
      <c r="G94" s="94">
        <v>60</v>
      </c>
      <c r="H94" s="94">
        <v>30</v>
      </c>
      <c r="I94" s="93">
        <f t="shared" si="5"/>
        <v>7.25768486599095</v>
      </c>
      <c r="J94" s="95" t="s">
        <v>410</v>
      </c>
    </row>
    <row r="95" spans="1:10" ht="12.75">
      <c r="A95" s="91">
        <v>2009.3</v>
      </c>
      <c r="B95" s="85" t="str">
        <f t="shared" si="4"/>
        <v>251</v>
      </c>
      <c r="C95" s="85">
        <v>251</v>
      </c>
      <c r="D95" s="85" t="s">
        <v>409</v>
      </c>
      <c r="E95" s="85" t="s">
        <v>409</v>
      </c>
      <c r="F95" s="92">
        <v>6.27009078100906</v>
      </c>
      <c r="G95" s="94">
        <v>30</v>
      </c>
      <c r="H95" s="94">
        <v>60</v>
      </c>
      <c r="I95" s="93">
        <f t="shared" si="5"/>
        <v>12.54018156201812</v>
      </c>
      <c r="J95" s="95" t="s">
        <v>410</v>
      </c>
    </row>
    <row r="96" spans="1:10" ht="12.75">
      <c r="A96" s="91">
        <v>2009.3</v>
      </c>
      <c r="B96" s="85" t="str">
        <f t="shared" si="4"/>
        <v>935DART</v>
      </c>
      <c r="C96" s="85">
        <v>935</v>
      </c>
      <c r="D96" s="85" t="s">
        <v>409</v>
      </c>
      <c r="E96" s="85" t="s">
        <v>418</v>
      </c>
      <c r="F96" s="92">
        <v>5.78216973121106</v>
      </c>
      <c r="G96" s="94">
        <v>30</v>
      </c>
      <c r="H96" s="94">
        <v>60</v>
      </c>
      <c r="I96" s="93">
        <f t="shared" si="5"/>
        <v>11.56433946242212</v>
      </c>
      <c r="J96" s="95" t="s">
        <v>410</v>
      </c>
    </row>
    <row r="97" spans="1:10" ht="12.75">
      <c r="A97" s="91">
        <v>2009.3</v>
      </c>
      <c r="B97" s="85" t="str">
        <f t="shared" si="4"/>
        <v>291DART</v>
      </c>
      <c r="C97" s="85">
        <v>291</v>
      </c>
      <c r="D97" s="85" t="s">
        <v>409</v>
      </c>
      <c r="E97" s="85" t="s">
        <v>418</v>
      </c>
      <c r="F97" s="92">
        <v>9.67210170987299</v>
      </c>
      <c r="G97" s="94">
        <v>30</v>
      </c>
      <c r="H97" s="94">
        <v>30</v>
      </c>
      <c r="I97" s="93">
        <f t="shared" si="5"/>
        <v>9.672101709872988</v>
      </c>
      <c r="J97" s="95" t="s">
        <v>410</v>
      </c>
    </row>
    <row r="98" spans="1:10" ht="12.75">
      <c r="A98" s="91">
        <v>2009.3</v>
      </c>
      <c r="B98" s="85" t="str">
        <f t="shared" si="4"/>
        <v>131TB</v>
      </c>
      <c r="C98" s="85">
        <v>131</v>
      </c>
      <c r="D98" s="85" t="s">
        <v>409</v>
      </c>
      <c r="E98" s="85" t="s">
        <v>412</v>
      </c>
      <c r="F98" s="92">
        <v>23.8158081076297</v>
      </c>
      <c r="G98" s="94">
        <v>40</v>
      </c>
      <c r="H98" s="94">
        <v>15</v>
      </c>
      <c r="I98" s="93">
        <f t="shared" si="5"/>
        <v>8.930928040361136</v>
      </c>
      <c r="J98" s="95" t="s">
        <v>414</v>
      </c>
    </row>
    <row r="99" spans="1:10" ht="12.75">
      <c r="A99" s="91">
        <v>2009.3</v>
      </c>
      <c r="B99" s="85" t="str">
        <f aca="true" t="shared" si="6" ref="B99:B104">C99&amp;IF(D99=" ",IF(E99=" ",,E99),D99)&amp;IF(D99=" ",,IF(E99=" ",,E99))</f>
        <v>155</v>
      </c>
      <c r="C99" s="85">
        <v>155</v>
      </c>
      <c r="D99" s="85" t="s">
        <v>409</v>
      </c>
      <c r="E99" s="85" t="s">
        <v>409</v>
      </c>
      <c r="F99" s="92">
        <v>15.200304936154</v>
      </c>
      <c r="G99" s="94">
        <v>60</v>
      </c>
      <c r="H99" s="94">
        <v>30</v>
      </c>
      <c r="I99" s="93">
        <f aca="true" t="shared" si="7" ref="I99:I107">F99*H99/G99</f>
        <v>7.600152468077</v>
      </c>
      <c r="J99" s="95" t="s">
        <v>410</v>
      </c>
    </row>
    <row r="100" spans="1:10" ht="12.75">
      <c r="A100" s="91">
        <v>2009.3</v>
      </c>
      <c r="B100" s="85" t="str">
        <f t="shared" si="6"/>
        <v>909DART</v>
      </c>
      <c r="C100" s="85">
        <v>909</v>
      </c>
      <c r="D100" s="85" t="s">
        <v>409</v>
      </c>
      <c r="E100" s="85" t="s">
        <v>418</v>
      </c>
      <c r="F100" s="92">
        <v>11.4835694912053</v>
      </c>
      <c r="G100" s="94">
        <v>60</v>
      </c>
      <c r="H100" s="94">
        <v>30</v>
      </c>
      <c r="I100" s="93">
        <f t="shared" si="7"/>
        <v>5.74178474560265</v>
      </c>
      <c r="J100" s="95" t="s">
        <v>410</v>
      </c>
    </row>
    <row r="101" spans="1:10" ht="12.75">
      <c r="A101" s="91">
        <v>2009.3</v>
      </c>
      <c r="B101" s="85" t="str">
        <f t="shared" si="6"/>
        <v>209</v>
      </c>
      <c r="C101" s="85">
        <v>209</v>
      </c>
      <c r="D101" s="85" t="s">
        <v>409</v>
      </c>
      <c r="E101" s="85" t="s">
        <v>409</v>
      </c>
      <c r="F101" s="92">
        <v>5.09188479622207</v>
      </c>
      <c r="G101" s="94">
        <v>60</v>
      </c>
      <c r="H101" s="94">
        <v>60</v>
      </c>
      <c r="I101" s="93">
        <f t="shared" si="7"/>
        <v>5.09188479622207</v>
      </c>
      <c r="J101" s="95" t="s">
        <v>410</v>
      </c>
    </row>
    <row r="102" spans="1:10" ht="12.75">
      <c r="A102" s="91">
        <v>2009.3</v>
      </c>
      <c r="B102" s="85" t="str">
        <f t="shared" si="6"/>
        <v>908DART</v>
      </c>
      <c r="C102" s="85">
        <v>908</v>
      </c>
      <c r="D102" s="85" t="s">
        <v>409</v>
      </c>
      <c r="E102" s="85" t="s">
        <v>418</v>
      </c>
      <c r="F102" s="92">
        <v>9.80983991297454</v>
      </c>
      <c r="G102" s="94">
        <v>60</v>
      </c>
      <c r="H102" s="94">
        <v>30</v>
      </c>
      <c r="I102" s="93">
        <f t="shared" si="7"/>
        <v>4.90491995648727</v>
      </c>
      <c r="J102" s="95" t="s">
        <v>410</v>
      </c>
    </row>
    <row r="103" spans="1:10" ht="12.75">
      <c r="A103" s="91">
        <v>2009.3</v>
      </c>
      <c r="B103" s="85" t="str">
        <f t="shared" si="6"/>
        <v>149</v>
      </c>
      <c r="C103" s="85">
        <v>149</v>
      </c>
      <c r="D103" s="85" t="s">
        <v>409</v>
      </c>
      <c r="E103" s="85" t="s">
        <v>409</v>
      </c>
      <c r="F103" s="92">
        <v>4.13396320405685</v>
      </c>
      <c r="G103" s="94">
        <v>60</v>
      </c>
      <c r="H103" s="94">
        <v>60</v>
      </c>
      <c r="I103" s="93">
        <f t="shared" si="7"/>
        <v>4.13396320405685</v>
      </c>
      <c r="J103" s="95" t="s">
        <v>410</v>
      </c>
    </row>
    <row r="104" spans="1:10" ht="12.75">
      <c r="A104" s="91">
        <v>2009.3</v>
      </c>
      <c r="B104" s="85" t="str">
        <f t="shared" si="6"/>
        <v>929</v>
      </c>
      <c r="C104" s="85">
        <v>929</v>
      </c>
      <c r="D104" s="85" t="s">
        <v>409</v>
      </c>
      <c r="E104" s="85" t="s">
        <v>409</v>
      </c>
      <c r="F104" s="92">
        <v>4.12429212833414</v>
      </c>
      <c r="G104" s="94">
        <v>60</v>
      </c>
      <c r="H104" s="94">
        <v>60</v>
      </c>
      <c r="I104" s="93">
        <f t="shared" si="7"/>
        <v>4.12429212833414</v>
      </c>
      <c r="J104" s="95" t="s">
        <v>410</v>
      </c>
    </row>
    <row r="105" spans="1:10" ht="12.75">
      <c r="A105" s="91">
        <v>2009.3</v>
      </c>
      <c r="B105" s="85" t="str">
        <f aca="true" t="shared" si="8" ref="B105:B115">C105&amp;IF(D105=" ",IF(E105=" ",,E105),D105)&amp;IF(D105=" ",,IF(E105=" ",,E105))</f>
        <v>28</v>
      </c>
      <c r="C105" s="85">
        <v>28</v>
      </c>
      <c r="D105" s="85" t="s">
        <v>409</v>
      </c>
      <c r="E105" s="85" t="s">
        <v>409</v>
      </c>
      <c r="F105" s="92">
        <v>45.6792362514626</v>
      </c>
      <c r="G105" s="94">
        <v>15</v>
      </c>
      <c r="H105" s="94">
        <v>30</v>
      </c>
      <c r="I105" s="93">
        <f t="shared" si="7"/>
        <v>91.3584725029252</v>
      </c>
      <c r="J105" s="95" t="s">
        <v>410</v>
      </c>
    </row>
    <row r="106" spans="1:11" ht="12.75">
      <c r="A106" s="91">
        <v>2009.3</v>
      </c>
      <c r="B106" s="85" t="str">
        <f t="shared" si="8"/>
        <v>28L</v>
      </c>
      <c r="C106" s="85">
        <v>28</v>
      </c>
      <c r="D106" s="85" t="s">
        <v>409</v>
      </c>
      <c r="E106" s="213" t="s">
        <v>605</v>
      </c>
      <c r="F106" s="92">
        <v>45.6792362514626</v>
      </c>
      <c r="G106" s="94">
        <v>30</v>
      </c>
      <c r="H106" s="94">
        <v>60</v>
      </c>
      <c r="I106" s="93">
        <f>F106*H106/G106*0.5</f>
        <v>45.6792362514626</v>
      </c>
      <c r="J106" s="95" t="s">
        <v>410</v>
      </c>
      <c r="K106" s="213" t="s">
        <v>606</v>
      </c>
    </row>
    <row r="107" spans="1:10" ht="12.75">
      <c r="A107" s="91">
        <v>2009.3</v>
      </c>
      <c r="B107" s="85" t="str">
        <f t="shared" si="8"/>
        <v>31</v>
      </c>
      <c r="C107" s="85">
        <v>31</v>
      </c>
      <c r="D107" s="85" t="s">
        <v>409</v>
      </c>
      <c r="E107" s="85" t="s">
        <v>409</v>
      </c>
      <c r="F107" s="92">
        <v>34.934751854267</v>
      </c>
      <c r="G107" s="94">
        <v>15</v>
      </c>
      <c r="H107" s="94">
        <v>30</v>
      </c>
      <c r="I107" s="93">
        <f t="shared" si="7"/>
        <v>69.869503708534</v>
      </c>
      <c r="J107" s="95" t="s">
        <v>410</v>
      </c>
    </row>
    <row r="108" spans="1:10" ht="12.75">
      <c r="A108" s="91">
        <v>2009.3</v>
      </c>
      <c r="B108" s="85" t="str">
        <f t="shared" si="8"/>
        <v>71EX</v>
      </c>
      <c r="C108" s="85">
        <v>71</v>
      </c>
      <c r="D108" s="85" t="s">
        <v>409</v>
      </c>
      <c r="E108" s="85" t="s">
        <v>413</v>
      </c>
      <c r="F108" s="92">
        <v>50.6516831925572</v>
      </c>
      <c r="G108" s="94">
        <v>30</v>
      </c>
      <c r="H108" s="94">
        <v>15</v>
      </c>
      <c r="I108" s="93">
        <f aca="true" t="shared" si="9" ref="I108:I115">F108*H108/G108</f>
        <v>25.3258415962786</v>
      </c>
      <c r="J108" s="95" t="s">
        <v>410</v>
      </c>
    </row>
    <row r="109" spans="1:10" ht="12.75">
      <c r="A109" s="91">
        <v>2009.3</v>
      </c>
      <c r="B109" s="85" t="str">
        <f t="shared" si="8"/>
        <v>71</v>
      </c>
      <c r="C109" s="85">
        <v>71</v>
      </c>
      <c r="D109" s="85" t="s">
        <v>409</v>
      </c>
      <c r="E109" s="85" t="s">
        <v>409</v>
      </c>
      <c r="F109" s="92">
        <v>32.34375</v>
      </c>
      <c r="G109" s="94">
        <v>30</v>
      </c>
      <c r="H109" s="94">
        <v>30</v>
      </c>
      <c r="I109" s="93">
        <f t="shared" si="9"/>
        <v>32.34375</v>
      </c>
      <c r="J109" s="95" t="s">
        <v>410</v>
      </c>
    </row>
    <row r="110" spans="1:10" ht="12.75">
      <c r="A110" s="91">
        <v>2009.3</v>
      </c>
      <c r="B110" s="85" t="str">
        <f t="shared" si="8"/>
        <v>118TB</v>
      </c>
      <c r="C110" s="85">
        <v>118</v>
      </c>
      <c r="D110" s="85" t="s">
        <v>409</v>
      </c>
      <c r="E110" s="85" t="s">
        <v>412</v>
      </c>
      <c r="F110" s="92">
        <v>21.6843125254998</v>
      </c>
      <c r="G110" s="94">
        <v>60</v>
      </c>
      <c r="H110" s="94">
        <v>60</v>
      </c>
      <c r="I110" s="93">
        <f t="shared" si="9"/>
        <v>21.6843125254998</v>
      </c>
      <c r="J110" s="95" t="s">
        <v>410</v>
      </c>
    </row>
    <row r="111" spans="1:10" ht="12.75">
      <c r="A111" s="91">
        <v>2009.3</v>
      </c>
      <c r="B111" s="85" t="str">
        <f t="shared" si="8"/>
        <v>230E</v>
      </c>
      <c r="C111" s="85">
        <v>230</v>
      </c>
      <c r="D111" s="85" t="s">
        <v>68</v>
      </c>
      <c r="E111" s="85" t="s">
        <v>409</v>
      </c>
      <c r="F111" s="92">
        <v>34.8574727176957</v>
      </c>
      <c r="G111" s="94">
        <v>30</v>
      </c>
      <c r="H111" s="94">
        <v>15</v>
      </c>
      <c r="I111" s="93">
        <f t="shared" si="9"/>
        <v>17.42873635884785</v>
      </c>
      <c r="J111" s="95" t="s">
        <v>410</v>
      </c>
    </row>
    <row r="112" spans="1:10" ht="12.75">
      <c r="A112" s="91">
        <v>2009.3</v>
      </c>
      <c r="B112" s="85" t="str">
        <f t="shared" si="8"/>
        <v>255</v>
      </c>
      <c r="C112" s="85">
        <v>255</v>
      </c>
      <c r="D112" s="85" t="s">
        <v>409</v>
      </c>
      <c r="E112" s="85" t="s">
        <v>409</v>
      </c>
      <c r="F112" s="92">
        <v>28.6024601381632</v>
      </c>
      <c r="G112" s="94">
        <v>15</v>
      </c>
      <c r="H112" s="94">
        <v>30</v>
      </c>
      <c r="I112" s="93">
        <f t="shared" si="9"/>
        <v>57.2049202763264</v>
      </c>
      <c r="J112" s="95" t="s">
        <v>414</v>
      </c>
    </row>
    <row r="113" spans="1:10" ht="12.75">
      <c r="A113" s="91">
        <v>2009.3</v>
      </c>
      <c r="B113" s="85" t="str">
        <f t="shared" si="8"/>
        <v>372EX</v>
      </c>
      <c r="C113" s="85">
        <v>372</v>
      </c>
      <c r="D113" s="85" t="s">
        <v>409</v>
      </c>
      <c r="E113" s="85" t="s">
        <v>413</v>
      </c>
      <c r="F113" s="92">
        <v>30.8023200264054</v>
      </c>
      <c r="G113" s="94">
        <v>30</v>
      </c>
      <c r="H113" s="94">
        <v>30</v>
      </c>
      <c r="I113" s="93">
        <f t="shared" si="9"/>
        <v>30.8023200264054</v>
      </c>
      <c r="J113" s="85" t="s">
        <v>414</v>
      </c>
    </row>
    <row r="114" spans="1:10" ht="12.75">
      <c r="A114" s="91">
        <v>2009.3</v>
      </c>
      <c r="B114" s="85" t="str">
        <f t="shared" si="8"/>
        <v>915</v>
      </c>
      <c r="C114" s="85">
        <v>915</v>
      </c>
      <c r="D114" s="85" t="s">
        <v>409</v>
      </c>
      <c r="E114" s="85" t="s">
        <v>409</v>
      </c>
      <c r="F114" s="92">
        <v>15.6474254328414</v>
      </c>
      <c r="G114" s="94">
        <v>60</v>
      </c>
      <c r="H114" s="94">
        <v>30</v>
      </c>
      <c r="I114" s="93">
        <f t="shared" si="9"/>
        <v>7.8237127164207</v>
      </c>
      <c r="J114" s="95" t="s">
        <v>410</v>
      </c>
    </row>
    <row r="115" spans="1:10" ht="12.75">
      <c r="A115" s="91">
        <v>2009.3</v>
      </c>
      <c r="B115" s="85" t="str">
        <f t="shared" si="8"/>
        <v>921</v>
      </c>
      <c r="C115" s="85">
        <v>921</v>
      </c>
      <c r="D115" s="85" t="s">
        <v>409</v>
      </c>
      <c r="E115" s="85" t="s">
        <v>409</v>
      </c>
      <c r="F115" s="92">
        <v>15.2108291459368</v>
      </c>
      <c r="G115" s="94">
        <v>30</v>
      </c>
      <c r="H115" s="94">
        <v>30</v>
      </c>
      <c r="I115" s="93">
        <f t="shared" si="9"/>
        <v>15.2108291459368</v>
      </c>
      <c r="J115" s="95" t="s">
        <v>410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&amp;C&amp;f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0.421875" style="91" customWidth="1"/>
    <col min="2" max="2" width="21.7109375" style="85" customWidth="1"/>
    <col min="3" max="3" width="9.421875" style="85" bestFit="1" customWidth="1"/>
    <col min="4" max="4" width="7.57421875" style="85" bestFit="1" customWidth="1"/>
    <col min="5" max="5" width="12.421875" style="85" bestFit="1" customWidth="1"/>
    <col min="6" max="6" width="16.421875" style="92" bestFit="1" customWidth="1"/>
    <col min="7" max="7" width="17.8515625" style="94" bestFit="1" customWidth="1"/>
    <col min="8" max="8" width="18.8515625" style="94" bestFit="1" customWidth="1"/>
    <col min="9" max="9" width="18.7109375" style="92" bestFit="1" customWidth="1"/>
    <col min="10" max="10" width="13.140625" style="85" bestFit="1" customWidth="1"/>
    <col min="11" max="16384" width="9.140625" style="85" customWidth="1"/>
  </cols>
  <sheetData>
    <row r="1" spans="1:11" ht="12.75">
      <c r="A1" s="86" t="s">
        <v>397</v>
      </c>
      <c r="B1" s="87" t="s">
        <v>398</v>
      </c>
      <c r="C1" s="87" t="s">
        <v>399</v>
      </c>
      <c r="D1" s="87" t="s">
        <v>400</v>
      </c>
      <c r="E1" s="87" t="s">
        <v>401</v>
      </c>
      <c r="F1" s="88" t="s">
        <v>403</v>
      </c>
      <c r="G1" s="90" t="s">
        <v>404</v>
      </c>
      <c r="H1" s="90" t="s">
        <v>405</v>
      </c>
      <c r="I1" s="89" t="s">
        <v>406</v>
      </c>
      <c r="J1" s="87" t="s">
        <v>407</v>
      </c>
      <c r="K1" s="213" t="s">
        <v>732</v>
      </c>
    </row>
    <row r="2" spans="1:11" ht="12.75">
      <c r="A2" s="91">
        <v>2009.3</v>
      </c>
      <c r="B2" s="85" t="str">
        <f aca="true" t="shared" si="0" ref="B2:B33">C2&amp;IF(D2=" ",IF(E2=" ",,E2),D2)&amp;IF(D2=" ",,IF(E2=" ",,E2))</f>
        <v>7TB</v>
      </c>
      <c r="C2" s="85">
        <v>7</v>
      </c>
      <c r="D2" s="85" t="s">
        <v>409</v>
      </c>
      <c r="E2" s="85" t="s">
        <v>412</v>
      </c>
      <c r="F2" s="92">
        <v>54.1803155112856</v>
      </c>
      <c r="G2" s="94">
        <v>10</v>
      </c>
      <c r="H2" s="94">
        <v>30</v>
      </c>
      <c r="I2" s="93">
        <f aca="true" t="shared" si="1" ref="I2:I33">F2*H2/G2</f>
        <v>162.5409465338568</v>
      </c>
      <c r="J2" s="95" t="s">
        <v>410</v>
      </c>
      <c r="K2" s="85" t="s">
        <v>409</v>
      </c>
    </row>
    <row r="3" spans="1:11" ht="12.75">
      <c r="A3" s="91">
        <v>2009.3</v>
      </c>
      <c r="B3" s="85" t="str">
        <f t="shared" si="0"/>
        <v>3STB</v>
      </c>
      <c r="C3" s="85">
        <v>3</v>
      </c>
      <c r="D3" s="85" t="s">
        <v>411</v>
      </c>
      <c r="E3" s="85" t="s">
        <v>412</v>
      </c>
      <c r="F3" s="92">
        <v>80.4984729507047</v>
      </c>
      <c r="G3" s="94">
        <v>7.5</v>
      </c>
      <c r="H3" s="94">
        <v>15</v>
      </c>
      <c r="I3" s="93">
        <f t="shared" si="1"/>
        <v>160.99694590140942</v>
      </c>
      <c r="J3" s="95" t="s">
        <v>410</v>
      </c>
      <c r="K3" s="85" t="s">
        <v>409</v>
      </c>
    </row>
    <row r="4" spans="1:11" ht="12.75">
      <c r="A4" s="91">
        <v>2009.3</v>
      </c>
      <c r="B4" s="85" t="str">
        <f t="shared" si="0"/>
        <v>36</v>
      </c>
      <c r="C4" s="85">
        <v>36</v>
      </c>
      <c r="D4" s="85" t="s">
        <v>409</v>
      </c>
      <c r="E4" s="85" t="s">
        <v>409</v>
      </c>
      <c r="F4" s="92">
        <v>46.6961434895032</v>
      </c>
      <c r="G4" s="94">
        <v>10</v>
      </c>
      <c r="H4" s="94">
        <v>30</v>
      </c>
      <c r="I4" s="93">
        <f t="shared" si="1"/>
        <v>140.08843046850959</v>
      </c>
      <c r="J4" s="95" t="s">
        <v>410</v>
      </c>
      <c r="K4" s="85" t="s">
        <v>409</v>
      </c>
    </row>
    <row r="5" spans="1:11" ht="12.75">
      <c r="A5" s="91">
        <v>2009.3</v>
      </c>
      <c r="B5" s="85" t="str">
        <f t="shared" si="0"/>
        <v>3N</v>
      </c>
      <c r="C5" s="85">
        <v>3</v>
      </c>
      <c r="D5" s="85" t="s">
        <v>408</v>
      </c>
      <c r="E5" s="85" t="s">
        <v>409</v>
      </c>
      <c r="F5" s="92">
        <v>69.7807888999894</v>
      </c>
      <c r="G5" s="94">
        <v>15</v>
      </c>
      <c r="H5" s="94">
        <v>30</v>
      </c>
      <c r="I5" s="93">
        <f t="shared" si="1"/>
        <v>139.5615777999788</v>
      </c>
      <c r="J5" s="85" t="s">
        <v>410</v>
      </c>
      <c r="K5" s="85" t="s">
        <v>409</v>
      </c>
    </row>
    <row r="6" spans="1:11" s="96" customFormat="1" ht="12.75">
      <c r="A6" s="97">
        <v>2009.3</v>
      </c>
      <c r="B6" s="96" t="str">
        <f t="shared" si="0"/>
        <v>13</v>
      </c>
      <c r="C6" s="96">
        <v>13</v>
      </c>
      <c r="D6" s="96" t="s">
        <v>409</v>
      </c>
      <c r="E6" s="96" t="s">
        <v>409</v>
      </c>
      <c r="F6" s="98">
        <v>66.043304905513</v>
      </c>
      <c r="G6" s="100">
        <v>15</v>
      </c>
      <c r="H6" s="100">
        <v>30</v>
      </c>
      <c r="I6" s="99">
        <f t="shared" si="1"/>
        <v>132.086609811026</v>
      </c>
      <c r="J6" s="101" t="s">
        <v>410</v>
      </c>
      <c r="K6" s="96" t="s">
        <v>409</v>
      </c>
    </row>
    <row r="7" spans="1:11" ht="12.75">
      <c r="A7" s="91">
        <v>2009.3</v>
      </c>
      <c r="B7" s="85" t="str">
        <f t="shared" si="0"/>
        <v>48S</v>
      </c>
      <c r="C7" s="85">
        <v>48</v>
      </c>
      <c r="D7" s="85" t="s">
        <v>411</v>
      </c>
      <c r="E7" s="85" t="s">
        <v>409</v>
      </c>
      <c r="F7" s="92">
        <v>61.9003047874026</v>
      </c>
      <c r="G7" s="94">
        <v>15</v>
      </c>
      <c r="H7" s="94">
        <v>30</v>
      </c>
      <c r="I7" s="93">
        <f t="shared" si="1"/>
        <v>123.8006095748052</v>
      </c>
      <c r="J7" s="95" t="s">
        <v>410</v>
      </c>
      <c r="K7" s="85" t="s">
        <v>409</v>
      </c>
    </row>
    <row r="8" spans="1:11" ht="12.75">
      <c r="A8" s="91">
        <v>2009.3</v>
      </c>
      <c r="B8" s="85" t="str">
        <f t="shared" si="0"/>
        <v>68</v>
      </c>
      <c r="C8" s="85">
        <v>68</v>
      </c>
      <c r="D8" s="85" t="s">
        <v>409</v>
      </c>
      <c r="E8" s="85" t="s">
        <v>409</v>
      </c>
      <c r="F8" s="92">
        <v>61.7750764207805</v>
      </c>
      <c r="G8" s="94">
        <v>30</v>
      </c>
      <c r="H8" s="94">
        <v>60</v>
      </c>
      <c r="I8" s="93">
        <f t="shared" si="1"/>
        <v>123.550152841561</v>
      </c>
      <c r="J8" s="95" t="s">
        <v>410</v>
      </c>
      <c r="K8" s="85" t="s">
        <v>409</v>
      </c>
    </row>
    <row r="9" spans="1:11" ht="12.75">
      <c r="A9" s="91">
        <v>2009.3</v>
      </c>
      <c r="B9" s="85" t="str">
        <f t="shared" si="0"/>
        <v>67</v>
      </c>
      <c r="C9" s="85">
        <v>67</v>
      </c>
      <c r="D9" s="85" t="s">
        <v>409</v>
      </c>
      <c r="E9" s="85" t="s">
        <v>409</v>
      </c>
      <c r="F9" s="92">
        <v>55.8426811833278</v>
      </c>
      <c r="G9" s="94">
        <v>15</v>
      </c>
      <c r="H9" s="94">
        <v>30</v>
      </c>
      <c r="I9" s="93">
        <f t="shared" si="1"/>
        <v>111.6853623666556</v>
      </c>
      <c r="J9" s="95" t="s">
        <v>410</v>
      </c>
      <c r="K9" s="85" t="s">
        <v>409</v>
      </c>
    </row>
    <row r="10" spans="1:11" ht="12.75">
      <c r="A10" s="91">
        <v>2009.3</v>
      </c>
      <c r="B10" s="85" t="str">
        <f t="shared" si="0"/>
        <v>358EX</v>
      </c>
      <c r="C10" s="85">
        <v>358</v>
      </c>
      <c r="D10" s="85" t="s">
        <v>409</v>
      </c>
      <c r="E10" s="85" t="s">
        <v>413</v>
      </c>
      <c r="F10" s="92">
        <v>50.5943357587706</v>
      </c>
      <c r="G10" s="94">
        <v>15</v>
      </c>
      <c r="H10" s="94">
        <v>30</v>
      </c>
      <c r="I10" s="93">
        <f t="shared" si="1"/>
        <v>101.1886715175412</v>
      </c>
      <c r="J10" s="95" t="s">
        <v>414</v>
      </c>
      <c r="K10" s="85" t="s">
        <v>409</v>
      </c>
    </row>
    <row r="11" spans="1:11" ht="12.75">
      <c r="A11" s="91">
        <v>2009.3</v>
      </c>
      <c r="B11" s="85" t="str">
        <f t="shared" si="0"/>
        <v>48N</v>
      </c>
      <c r="C11" s="85">
        <v>48</v>
      </c>
      <c r="D11" s="85" t="s">
        <v>408</v>
      </c>
      <c r="E11" s="85" t="s">
        <v>409</v>
      </c>
      <c r="F11" s="92">
        <v>46.979437344876</v>
      </c>
      <c r="G11" s="94">
        <v>15</v>
      </c>
      <c r="H11" s="94">
        <v>30</v>
      </c>
      <c r="I11" s="93">
        <f t="shared" si="1"/>
        <v>93.958874689752</v>
      </c>
      <c r="J11" s="95" t="s">
        <v>410</v>
      </c>
      <c r="K11" s="85" t="s">
        <v>409</v>
      </c>
    </row>
    <row r="12" spans="1:11" ht="12.75">
      <c r="A12" s="91">
        <v>2009.3</v>
      </c>
      <c r="B12" s="85" t="str">
        <f t="shared" si="0"/>
        <v>73TEX</v>
      </c>
      <c r="C12" s="85">
        <v>73</v>
      </c>
      <c r="D12" s="85" t="s">
        <v>409</v>
      </c>
      <c r="E12" s="85" t="s">
        <v>415</v>
      </c>
      <c r="F12" s="92">
        <v>45.3300529616615</v>
      </c>
      <c r="G12" s="94">
        <v>7.5</v>
      </c>
      <c r="H12" s="94">
        <v>15</v>
      </c>
      <c r="I12" s="93">
        <f t="shared" si="1"/>
        <v>90.660105923323</v>
      </c>
      <c r="J12" s="95" t="s">
        <v>410</v>
      </c>
      <c r="K12" s="85" t="s">
        <v>409</v>
      </c>
    </row>
    <row r="13" spans="1:11" ht="12.75">
      <c r="A13" s="91">
        <v>2009.3</v>
      </c>
      <c r="B13" s="85" t="str">
        <f t="shared" si="0"/>
        <v>15</v>
      </c>
      <c r="C13" s="85">
        <v>15</v>
      </c>
      <c r="D13" s="85" t="s">
        <v>409</v>
      </c>
      <c r="E13" s="85" t="s">
        <v>409</v>
      </c>
      <c r="F13" s="92">
        <v>59.7718224301254</v>
      </c>
      <c r="G13" s="94">
        <v>10</v>
      </c>
      <c r="H13" s="94">
        <v>15</v>
      </c>
      <c r="I13" s="93">
        <f t="shared" si="1"/>
        <v>89.65773364518809</v>
      </c>
      <c r="J13" s="95" t="s">
        <v>410</v>
      </c>
      <c r="K13" s="85" t="s">
        <v>409</v>
      </c>
    </row>
    <row r="14" spans="1:11" ht="12.75">
      <c r="A14" s="91">
        <v>2009.3</v>
      </c>
      <c r="B14" s="85" t="str">
        <f t="shared" si="0"/>
        <v>120</v>
      </c>
      <c r="C14" s="85">
        <v>120</v>
      </c>
      <c r="D14" s="85" t="s">
        <v>409</v>
      </c>
      <c r="E14" s="85" t="s">
        <v>409</v>
      </c>
      <c r="F14" s="92">
        <v>44.8107526217991</v>
      </c>
      <c r="G14" s="94">
        <v>15</v>
      </c>
      <c r="H14" s="94">
        <v>30</v>
      </c>
      <c r="I14" s="93">
        <f t="shared" si="1"/>
        <v>89.6215052435982</v>
      </c>
      <c r="J14" s="95" t="s">
        <v>414</v>
      </c>
      <c r="K14" s="85" t="s">
        <v>409</v>
      </c>
    </row>
    <row r="15" spans="1:11" ht="12.75">
      <c r="A15" s="91">
        <v>2009.3</v>
      </c>
      <c r="B15" s="85" t="str">
        <f>C15&amp;IF(D15=" ",IF(E15=" ",,E15),D15)&amp;IF(D15=" ",,IF(E15=" ",,E15))</f>
        <v>5l</v>
      </c>
      <c r="C15" s="85">
        <v>5</v>
      </c>
      <c r="E15" s="213" t="s">
        <v>611</v>
      </c>
      <c r="F15" s="92">
        <v>43.6564938214118</v>
      </c>
      <c r="G15" s="94">
        <v>30</v>
      </c>
      <c r="H15" s="94">
        <v>60</v>
      </c>
      <c r="I15" s="93">
        <f>F15*0.5/(G15/H15)</f>
        <v>43.6564938214118</v>
      </c>
      <c r="J15" s="214" t="s">
        <v>414</v>
      </c>
      <c r="K15" s="213" t="s">
        <v>608</v>
      </c>
    </row>
    <row r="16" spans="1:11" ht="12.75">
      <c r="A16" s="91">
        <v>2009.3</v>
      </c>
      <c r="B16" s="85" t="str">
        <f t="shared" si="0"/>
        <v>5</v>
      </c>
      <c r="C16" s="85">
        <v>5</v>
      </c>
      <c r="D16" s="85" t="s">
        <v>409</v>
      </c>
      <c r="E16" s="85" t="s">
        <v>409</v>
      </c>
      <c r="F16" s="92">
        <v>43.6564938214118</v>
      </c>
      <c r="G16" s="94">
        <v>15</v>
      </c>
      <c r="H16" s="94">
        <v>30</v>
      </c>
      <c r="I16" s="93">
        <f t="shared" si="1"/>
        <v>87.3129876428236</v>
      </c>
      <c r="J16" s="95" t="s">
        <v>414</v>
      </c>
      <c r="K16" s="85" t="s">
        <v>409</v>
      </c>
    </row>
    <row r="17" spans="1:11" ht="12.75">
      <c r="A17" s="91">
        <v>2009.3</v>
      </c>
      <c r="B17" s="85" t="str">
        <f t="shared" si="0"/>
        <v>253</v>
      </c>
      <c r="C17" s="85">
        <v>253</v>
      </c>
      <c r="D17" s="85" t="s">
        <v>409</v>
      </c>
      <c r="E17" s="85" t="s">
        <v>409</v>
      </c>
      <c r="F17" s="92">
        <v>41.0121411681267</v>
      </c>
      <c r="G17" s="94">
        <v>15</v>
      </c>
      <c r="H17" s="94">
        <v>30</v>
      </c>
      <c r="I17" s="93">
        <f t="shared" si="1"/>
        <v>82.0242823362534</v>
      </c>
      <c r="J17" s="95" t="s">
        <v>410</v>
      </c>
      <c r="K17" s="85" t="s">
        <v>409</v>
      </c>
    </row>
    <row r="18" spans="1:11" ht="12.75">
      <c r="A18" s="91">
        <v>2009.3</v>
      </c>
      <c r="B18" s="85" t="str">
        <f t="shared" si="0"/>
        <v>41</v>
      </c>
      <c r="C18" s="85">
        <v>41</v>
      </c>
      <c r="D18" s="85" t="s">
        <v>409</v>
      </c>
      <c r="E18" s="85" t="s">
        <v>409</v>
      </c>
      <c r="F18" s="92">
        <v>38.5659506913055</v>
      </c>
      <c r="G18" s="94">
        <v>15</v>
      </c>
      <c r="H18" s="94">
        <v>30</v>
      </c>
      <c r="I18" s="93">
        <f t="shared" si="1"/>
        <v>77.131901382611</v>
      </c>
      <c r="J18" s="95" t="s">
        <v>410</v>
      </c>
      <c r="K18" s="85" t="s">
        <v>409</v>
      </c>
    </row>
    <row r="19" spans="1:11" s="96" customFormat="1" ht="12.75">
      <c r="A19" s="97">
        <v>2009.3</v>
      </c>
      <c r="B19" s="96" t="str">
        <f t="shared" si="0"/>
        <v>174SH</v>
      </c>
      <c r="C19" s="96">
        <v>174</v>
      </c>
      <c r="D19" s="96" t="s">
        <v>409</v>
      </c>
      <c r="E19" s="96" t="s">
        <v>416</v>
      </c>
      <c r="F19" s="98">
        <v>59.3064814538653</v>
      </c>
      <c r="G19" s="100">
        <v>30</v>
      </c>
      <c r="H19" s="100">
        <v>30</v>
      </c>
      <c r="I19" s="99">
        <f t="shared" si="1"/>
        <v>59.3064814538653</v>
      </c>
      <c r="J19" s="101" t="s">
        <v>410</v>
      </c>
      <c r="K19" s="96" t="s">
        <v>409</v>
      </c>
    </row>
    <row r="20" spans="1:11" ht="12.75">
      <c r="A20" s="91">
        <v>2009.3</v>
      </c>
      <c r="B20" s="85" t="str">
        <f t="shared" si="0"/>
        <v>12TB</v>
      </c>
      <c r="C20" s="85">
        <v>12</v>
      </c>
      <c r="D20" s="85" t="s">
        <v>409</v>
      </c>
      <c r="E20" s="85" t="s">
        <v>412</v>
      </c>
      <c r="F20" s="92">
        <v>57.8664245470117</v>
      </c>
      <c r="G20" s="94">
        <v>15</v>
      </c>
      <c r="H20" s="94">
        <v>15</v>
      </c>
      <c r="I20" s="93">
        <f t="shared" si="1"/>
        <v>57.8664245470117</v>
      </c>
      <c r="J20" s="95" t="s">
        <v>410</v>
      </c>
      <c r="K20" s="85" t="s">
        <v>409</v>
      </c>
    </row>
    <row r="21" spans="1:11" ht="12.75">
      <c r="A21" s="91">
        <v>2009.3</v>
      </c>
      <c r="B21" s="85" t="str">
        <f t="shared" si="0"/>
        <v>30</v>
      </c>
      <c r="C21" s="85">
        <v>30</v>
      </c>
      <c r="D21" s="85" t="s">
        <v>409</v>
      </c>
      <c r="E21" s="85" t="s">
        <v>409</v>
      </c>
      <c r="F21" s="92">
        <v>28.8675998741743</v>
      </c>
      <c r="G21" s="94">
        <v>30</v>
      </c>
      <c r="H21" s="94">
        <v>60</v>
      </c>
      <c r="I21" s="93">
        <f t="shared" si="1"/>
        <v>57.7351997483486</v>
      </c>
      <c r="J21" s="95" t="s">
        <v>410</v>
      </c>
      <c r="K21" s="213" t="s">
        <v>711</v>
      </c>
    </row>
    <row r="22" spans="1:11" ht="12.75">
      <c r="A22" s="91">
        <v>2009.3</v>
      </c>
      <c r="B22" s="85" t="str">
        <f t="shared" si="0"/>
        <v>140</v>
      </c>
      <c r="C22" s="85">
        <v>140</v>
      </c>
      <c r="D22" s="85" t="s">
        <v>409</v>
      </c>
      <c r="E22" s="85" t="s">
        <v>409</v>
      </c>
      <c r="F22" s="92">
        <v>28.1723278307631</v>
      </c>
      <c r="G22" s="94">
        <v>15</v>
      </c>
      <c r="H22" s="94">
        <v>30</v>
      </c>
      <c r="I22" s="93">
        <f t="shared" si="1"/>
        <v>56.3446556615262</v>
      </c>
      <c r="J22" s="95" t="s">
        <v>410</v>
      </c>
      <c r="K22" s="85" t="s">
        <v>409</v>
      </c>
    </row>
    <row r="23" spans="1:11" ht="12.75">
      <c r="A23" s="91">
        <v>2009.3</v>
      </c>
      <c r="B23" s="85" t="str">
        <f t="shared" si="0"/>
        <v>10</v>
      </c>
      <c r="C23" s="85">
        <v>10</v>
      </c>
      <c r="D23" s="85" t="s">
        <v>409</v>
      </c>
      <c r="E23" s="85" t="s">
        <v>409</v>
      </c>
      <c r="F23" s="92">
        <v>55.4209729385591</v>
      </c>
      <c r="G23" s="94">
        <v>15</v>
      </c>
      <c r="H23" s="94">
        <v>30</v>
      </c>
      <c r="I23" s="93">
        <f t="shared" si="1"/>
        <v>110.8419458771182</v>
      </c>
      <c r="J23" s="95" t="s">
        <v>410</v>
      </c>
      <c r="K23" s="85" t="s">
        <v>409</v>
      </c>
    </row>
    <row r="24" spans="1:11" ht="12.75">
      <c r="A24" s="91">
        <v>2009.3</v>
      </c>
      <c r="B24" s="85" t="str">
        <f t="shared" si="0"/>
        <v>150TB</v>
      </c>
      <c r="C24" s="85">
        <v>150</v>
      </c>
      <c r="D24" s="85" t="s">
        <v>409</v>
      </c>
      <c r="E24" s="85" t="s">
        <v>412</v>
      </c>
      <c r="F24" s="92">
        <v>27.6386193242589</v>
      </c>
      <c r="G24" s="94">
        <v>15</v>
      </c>
      <c r="H24" s="94">
        <v>30</v>
      </c>
      <c r="I24" s="93">
        <f t="shared" si="1"/>
        <v>55.2772386485178</v>
      </c>
      <c r="J24" s="95" t="s">
        <v>414</v>
      </c>
      <c r="K24" s="85" t="s">
        <v>409</v>
      </c>
    </row>
    <row r="25" spans="1:11" ht="12.75">
      <c r="A25" s="91">
        <v>2009.3</v>
      </c>
      <c r="B25" s="85" t="str">
        <f t="shared" si="0"/>
        <v>2S</v>
      </c>
      <c r="C25" s="85">
        <v>2</v>
      </c>
      <c r="D25" s="85" t="s">
        <v>411</v>
      </c>
      <c r="E25" s="85" t="s">
        <v>409</v>
      </c>
      <c r="F25" s="92">
        <v>54.2383492159789</v>
      </c>
      <c r="G25" s="94">
        <v>15</v>
      </c>
      <c r="H25" s="94">
        <v>30</v>
      </c>
      <c r="I25" s="93">
        <f t="shared" si="1"/>
        <v>108.4766984319578</v>
      </c>
      <c r="J25" s="85" t="s">
        <v>410</v>
      </c>
      <c r="K25" s="85" t="s">
        <v>409</v>
      </c>
    </row>
    <row r="26" spans="1:11" ht="12.75">
      <c r="A26" s="91">
        <v>2009.3</v>
      </c>
      <c r="B26" s="85" t="str">
        <f t="shared" si="0"/>
        <v>230W</v>
      </c>
      <c r="C26" s="85">
        <v>230</v>
      </c>
      <c r="D26" s="85" t="s">
        <v>417</v>
      </c>
      <c r="E26" s="85" t="s">
        <v>409</v>
      </c>
      <c r="F26" s="92">
        <v>26.9070166589654</v>
      </c>
      <c r="G26" s="94">
        <v>30</v>
      </c>
      <c r="H26" s="94">
        <v>60</v>
      </c>
      <c r="I26" s="93">
        <f t="shared" si="1"/>
        <v>53.8140333179308</v>
      </c>
      <c r="J26" s="95" t="s">
        <v>410</v>
      </c>
      <c r="K26" s="85" t="s">
        <v>409</v>
      </c>
    </row>
    <row r="27" spans="1:11" ht="12.75">
      <c r="A27" s="91">
        <v>2009.3</v>
      </c>
      <c r="B27" s="85" t="str">
        <f t="shared" si="0"/>
        <v>169</v>
      </c>
      <c r="C27" s="85">
        <v>169</v>
      </c>
      <c r="D27" s="85" t="s">
        <v>409</v>
      </c>
      <c r="E27" s="85" t="s">
        <v>409</v>
      </c>
      <c r="F27" s="92">
        <v>50.0514232227643</v>
      </c>
      <c r="G27" s="94">
        <v>30</v>
      </c>
      <c r="H27" s="94">
        <v>30</v>
      </c>
      <c r="I27" s="93">
        <f t="shared" si="1"/>
        <v>50.051423222764306</v>
      </c>
      <c r="J27" s="95" t="s">
        <v>410</v>
      </c>
      <c r="K27" s="85" t="s">
        <v>409</v>
      </c>
    </row>
    <row r="28" spans="1:11" ht="12.75">
      <c r="A28" s="91">
        <v>2009.3</v>
      </c>
      <c r="B28" s="85" t="str">
        <f t="shared" si="0"/>
        <v>16</v>
      </c>
      <c r="C28" s="85">
        <v>16</v>
      </c>
      <c r="D28" s="85" t="s">
        <v>409</v>
      </c>
      <c r="E28" s="85" t="s">
        <v>409</v>
      </c>
      <c r="F28" s="92">
        <v>32.9381375181587</v>
      </c>
      <c r="G28" s="94">
        <v>20</v>
      </c>
      <c r="H28" s="94">
        <v>30</v>
      </c>
      <c r="I28" s="93">
        <f t="shared" si="1"/>
        <v>49.407206277238046</v>
      </c>
      <c r="J28" s="95" t="s">
        <v>410</v>
      </c>
      <c r="K28" s="85" t="s">
        <v>409</v>
      </c>
    </row>
    <row r="29" spans="1:11" ht="12.75">
      <c r="A29" s="91">
        <v>2009.3</v>
      </c>
      <c r="B29" s="85" t="str">
        <f t="shared" si="0"/>
        <v>49</v>
      </c>
      <c r="C29" s="85">
        <v>49</v>
      </c>
      <c r="D29" s="85" t="s">
        <v>409</v>
      </c>
      <c r="E29" s="85" t="s">
        <v>409</v>
      </c>
      <c r="F29" s="92">
        <v>47.588510947233</v>
      </c>
      <c r="G29" s="94">
        <v>15</v>
      </c>
      <c r="H29" s="94">
        <v>15</v>
      </c>
      <c r="I29" s="93">
        <f t="shared" si="1"/>
        <v>47.588510947233</v>
      </c>
      <c r="J29" s="95" t="s">
        <v>410</v>
      </c>
      <c r="K29" s="85" t="s">
        <v>409</v>
      </c>
    </row>
    <row r="30" spans="1:11" ht="12.75">
      <c r="A30" s="91">
        <v>2009.3</v>
      </c>
      <c r="B30" s="85" t="str">
        <f t="shared" si="0"/>
        <v>26</v>
      </c>
      <c r="C30" s="85">
        <v>26</v>
      </c>
      <c r="D30" s="85" t="s">
        <v>409</v>
      </c>
      <c r="E30" s="85" t="s">
        <v>409</v>
      </c>
      <c r="F30" s="92">
        <v>47.5719153716594</v>
      </c>
      <c r="G30" s="94">
        <v>15</v>
      </c>
      <c r="H30" s="94">
        <v>15</v>
      </c>
      <c r="I30" s="93">
        <f t="shared" si="1"/>
        <v>47.5719153716594</v>
      </c>
      <c r="J30" s="95" t="s">
        <v>410</v>
      </c>
      <c r="K30" s="85" t="s">
        <v>409</v>
      </c>
    </row>
    <row r="31" spans="1:11" ht="12.75">
      <c r="A31" s="91">
        <v>2009.3</v>
      </c>
      <c r="B31" s="85" t="str">
        <f t="shared" si="0"/>
        <v>9EX</v>
      </c>
      <c r="C31" s="85">
        <v>9</v>
      </c>
      <c r="D31" s="85" t="s">
        <v>409</v>
      </c>
      <c r="E31" s="85" t="s">
        <v>413</v>
      </c>
      <c r="F31" s="92">
        <v>45.2086013436249</v>
      </c>
      <c r="G31" s="94">
        <v>30</v>
      </c>
      <c r="H31" s="94">
        <v>30</v>
      </c>
      <c r="I31" s="93">
        <f t="shared" si="1"/>
        <v>45.2086013436249</v>
      </c>
      <c r="J31" s="95" t="s">
        <v>410</v>
      </c>
      <c r="K31" s="85" t="s">
        <v>409</v>
      </c>
    </row>
    <row r="32" spans="1:11" ht="12.75">
      <c r="A32" s="91">
        <v>2009.3</v>
      </c>
      <c r="B32" s="85" t="str">
        <f t="shared" si="0"/>
        <v>14S</v>
      </c>
      <c r="C32" s="85">
        <v>14</v>
      </c>
      <c r="D32" s="85" t="s">
        <v>411</v>
      </c>
      <c r="E32" s="85" t="s">
        <v>409</v>
      </c>
      <c r="F32" s="92">
        <v>45.0092153610825</v>
      </c>
      <c r="G32" s="94">
        <v>30</v>
      </c>
      <c r="H32" s="94">
        <v>30</v>
      </c>
      <c r="I32" s="93">
        <f t="shared" si="1"/>
        <v>45.0092153610825</v>
      </c>
      <c r="J32" s="95" t="s">
        <v>410</v>
      </c>
      <c r="K32" s="85" t="s">
        <v>409</v>
      </c>
    </row>
    <row r="33" spans="1:11" ht="12.75">
      <c r="A33" s="91">
        <v>2009.3</v>
      </c>
      <c r="B33" s="85" t="str">
        <f t="shared" si="0"/>
        <v>44</v>
      </c>
      <c r="C33" s="85">
        <v>44</v>
      </c>
      <c r="D33" s="85" t="s">
        <v>409</v>
      </c>
      <c r="E33" s="85" t="s">
        <v>409</v>
      </c>
      <c r="F33" s="92">
        <v>44.3803219406664</v>
      </c>
      <c r="G33" s="94">
        <v>15</v>
      </c>
      <c r="H33" s="94">
        <v>30</v>
      </c>
      <c r="I33" s="93">
        <f t="shared" si="1"/>
        <v>88.7606438813328</v>
      </c>
      <c r="J33" s="95" t="s">
        <v>410</v>
      </c>
      <c r="K33" s="85" t="s">
        <v>409</v>
      </c>
    </row>
    <row r="34" spans="1:11" ht="12.75">
      <c r="A34" s="91">
        <v>2009.3</v>
      </c>
      <c r="B34" s="85" t="str">
        <f aca="true" t="shared" si="2" ref="B34:B66">C34&amp;IF(D34=" ",IF(E34=" ",,E34),D34)&amp;IF(D34=" ",,IF(E34=" ",,E34))</f>
        <v>8</v>
      </c>
      <c r="C34" s="85">
        <v>8</v>
      </c>
      <c r="D34" s="85" t="s">
        <v>409</v>
      </c>
      <c r="E34" s="85" t="s">
        <v>409</v>
      </c>
      <c r="F34" s="92">
        <v>43.2388127552175</v>
      </c>
      <c r="G34" s="94">
        <v>15</v>
      </c>
      <c r="H34" s="94">
        <v>30</v>
      </c>
      <c r="I34" s="93">
        <f aca="true" t="shared" si="3" ref="I34:I65">F34*H34/G34</f>
        <v>86.477625510435</v>
      </c>
      <c r="J34" s="95" t="s">
        <v>410</v>
      </c>
      <c r="K34" s="85" t="s">
        <v>409</v>
      </c>
    </row>
    <row r="35" spans="1:11" ht="12.75">
      <c r="A35" s="91">
        <v>2009.3</v>
      </c>
      <c r="B35" s="85" t="str">
        <f t="shared" si="2"/>
        <v>60</v>
      </c>
      <c r="C35" s="85">
        <v>60</v>
      </c>
      <c r="D35" s="85" t="s">
        <v>409</v>
      </c>
      <c r="E35" s="85" t="s">
        <v>409</v>
      </c>
      <c r="F35" s="92">
        <v>42.990540177584</v>
      </c>
      <c r="G35" s="94">
        <v>30</v>
      </c>
      <c r="H35" s="94">
        <v>30</v>
      </c>
      <c r="I35" s="93">
        <f t="shared" si="3"/>
        <v>42.990540177584</v>
      </c>
      <c r="J35" s="95" t="s">
        <v>410</v>
      </c>
      <c r="K35" s="85" t="s">
        <v>409</v>
      </c>
    </row>
    <row r="36" spans="1:11" ht="12.75">
      <c r="A36" s="91">
        <v>2009.3</v>
      </c>
      <c r="B36" s="85" t="str">
        <f t="shared" si="2"/>
        <v>75</v>
      </c>
      <c r="C36" s="85">
        <v>75</v>
      </c>
      <c r="D36" s="85" t="s">
        <v>409</v>
      </c>
      <c r="E36" s="85" t="s">
        <v>409</v>
      </c>
      <c r="F36" s="92">
        <v>41.6967025115016</v>
      </c>
      <c r="G36" s="94">
        <v>30</v>
      </c>
      <c r="H36" s="94">
        <v>30</v>
      </c>
      <c r="I36" s="93">
        <f t="shared" si="3"/>
        <v>41.6967025115016</v>
      </c>
      <c r="J36" s="95" t="s">
        <v>410</v>
      </c>
      <c r="K36" s="85" t="s">
        <v>409</v>
      </c>
    </row>
    <row r="37" spans="1:11" ht="12.75">
      <c r="A37" s="91">
        <v>2009.3</v>
      </c>
      <c r="B37" s="85" t="str">
        <f t="shared" si="2"/>
        <v>345</v>
      </c>
      <c r="C37" s="85">
        <v>345</v>
      </c>
      <c r="D37" s="85" t="s">
        <v>409</v>
      </c>
      <c r="E37" s="85" t="s">
        <v>409</v>
      </c>
      <c r="F37" s="92">
        <v>41.3168635013006</v>
      </c>
      <c r="G37" s="94">
        <v>30</v>
      </c>
      <c r="H37" s="94">
        <v>30</v>
      </c>
      <c r="I37" s="93">
        <f t="shared" si="3"/>
        <v>41.3168635013006</v>
      </c>
      <c r="J37" s="95" t="s">
        <v>414</v>
      </c>
      <c r="K37" s="85" t="s">
        <v>409</v>
      </c>
    </row>
    <row r="38" spans="1:11" ht="12.75">
      <c r="A38" s="91">
        <v>2009.3</v>
      </c>
      <c r="B38" s="85" t="str">
        <f t="shared" si="2"/>
        <v>105</v>
      </c>
      <c r="C38" s="85">
        <v>105</v>
      </c>
      <c r="D38" s="85" t="s">
        <v>409</v>
      </c>
      <c r="E38" s="85" t="s">
        <v>409</v>
      </c>
      <c r="F38" s="92">
        <v>40.9661367542495</v>
      </c>
      <c r="G38" s="94">
        <v>30</v>
      </c>
      <c r="H38" s="94">
        <v>30</v>
      </c>
      <c r="I38" s="93">
        <f t="shared" si="3"/>
        <v>40.9661367542495</v>
      </c>
      <c r="J38" s="95" t="s">
        <v>410</v>
      </c>
      <c r="K38" s="85" t="s">
        <v>409</v>
      </c>
    </row>
    <row r="39" spans="1:11" ht="12.75">
      <c r="A39" s="91">
        <v>2009.3</v>
      </c>
      <c r="B39" s="85" t="str">
        <f t="shared" si="2"/>
        <v>166</v>
      </c>
      <c r="C39" s="85">
        <v>166</v>
      </c>
      <c r="D39" s="85" t="s">
        <v>409</v>
      </c>
      <c r="E39" s="85" t="s">
        <v>409</v>
      </c>
      <c r="F39" s="92">
        <v>39.8696286249407</v>
      </c>
      <c r="G39" s="94">
        <v>30</v>
      </c>
      <c r="H39" s="94">
        <v>30</v>
      </c>
      <c r="I39" s="93">
        <f t="shared" si="3"/>
        <v>39.8696286249407</v>
      </c>
      <c r="J39" s="95" t="s">
        <v>410</v>
      </c>
      <c r="K39" s="85" t="s">
        <v>409</v>
      </c>
    </row>
    <row r="40" spans="1:11" ht="12.75">
      <c r="A40" s="91">
        <v>2009.3</v>
      </c>
      <c r="B40" s="85" t="str">
        <f t="shared" si="2"/>
        <v>65</v>
      </c>
      <c r="C40" s="85">
        <v>65</v>
      </c>
      <c r="D40" s="85" t="s">
        <v>409</v>
      </c>
      <c r="E40" s="85" t="s">
        <v>409</v>
      </c>
      <c r="F40" s="92">
        <v>39.5428426361807</v>
      </c>
      <c r="G40" s="94">
        <v>30</v>
      </c>
      <c r="H40" s="94">
        <v>30</v>
      </c>
      <c r="I40" s="93">
        <f t="shared" si="3"/>
        <v>39.5428426361807</v>
      </c>
      <c r="J40" s="95" t="s">
        <v>410</v>
      </c>
      <c r="K40" s="85" t="s">
        <v>409</v>
      </c>
    </row>
    <row r="41" spans="1:11" ht="12.75">
      <c r="A41" s="91">
        <v>2009.3</v>
      </c>
      <c r="B41" s="85" t="str">
        <f t="shared" si="2"/>
        <v>245</v>
      </c>
      <c r="C41" s="85">
        <v>245</v>
      </c>
      <c r="D41" s="85" t="s">
        <v>409</v>
      </c>
      <c r="E41" s="85" t="s">
        <v>409</v>
      </c>
      <c r="F41" s="92">
        <v>19.4412983985059</v>
      </c>
      <c r="G41" s="94">
        <v>15</v>
      </c>
      <c r="H41" s="94">
        <v>30</v>
      </c>
      <c r="I41" s="93">
        <f t="shared" si="3"/>
        <v>38.8825967970118</v>
      </c>
      <c r="J41" s="95" t="s">
        <v>410</v>
      </c>
      <c r="K41" s="85" t="s">
        <v>409</v>
      </c>
    </row>
    <row r="42" spans="1:11" ht="12.75">
      <c r="A42" s="91">
        <v>2009.3</v>
      </c>
      <c r="B42" s="85" t="str">
        <f t="shared" si="2"/>
        <v>54</v>
      </c>
      <c r="C42" s="85">
        <v>54</v>
      </c>
      <c r="D42" s="85" t="s">
        <v>409</v>
      </c>
      <c r="E42" s="85" t="s">
        <v>409</v>
      </c>
      <c r="F42" s="92">
        <v>36.4719815652469</v>
      </c>
      <c r="G42" s="94">
        <v>30</v>
      </c>
      <c r="H42" s="94">
        <v>30</v>
      </c>
      <c r="I42" s="93">
        <f t="shared" si="3"/>
        <v>36.4719815652469</v>
      </c>
      <c r="J42" s="95" t="s">
        <v>410</v>
      </c>
      <c r="K42" s="85" t="s">
        <v>409</v>
      </c>
    </row>
    <row r="43" spans="1:11" ht="12.75">
      <c r="A43" s="91">
        <v>2009.3</v>
      </c>
      <c r="B43" s="85" t="str">
        <f t="shared" si="2"/>
        <v>101</v>
      </c>
      <c r="C43" s="85">
        <v>101</v>
      </c>
      <c r="D43" s="85" t="s">
        <v>409</v>
      </c>
      <c r="E43" s="85" t="s">
        <v>409</v>
      </c>
      <c r="F43" s="92">
        <v>36.2688186802563</v>
      </c>
      <c r="G43" s="94">
        <v>30</v>
      </c>
      <c r="H43" s="94">
        <v>30</v>
      </c>
      <c r="I43" s="93">
        <f t="shared" si="3"/>
        <v>36.2688186802563</v>
      </c>
      <c r="J43" s="95" t="s">
        <v>414</v>
      </c>
      <c r="K43" s="85" t="s">
        <v>409</v>
      </c>
    </row>
    <row r="44" spans="1:11" ht="12.75">
      <c r="A44" s="91">
        <v>2009.3</v>
      </c>
      <c r="B44" s="85" t="str">
        <f t="shared" si="2"/>
        <v>372EX</v>
      </c>
      <c r="C44" s="85">
        <v>372</v>
      </c>
      <c r="D44" s="85" t="s">
        <v>409</v>
      </c>
      <c r="E44" s="85" t="s">
        <v>413</v>
      </c>
      <c r="F44" s="92">
        <v>35.6166989039329</v>
      </c>
      <c r="G44" s="94">
        <v>30</v>
      </c>
      <c r="H44" s="94">
        <v>60</v>
      </c>
      <c r="I44" s="93">
        <f t="shared" si="3"/>
        <v>71.23339780786579</v>
      </c>
      <c r="J44" s="95" t="s">
        <v>414</v>
      </c>
      <c r="K44" s="85" t="s">
        <v>409</v>
      </c>
    </row>
    <row r="45" spans="1:11" ht="12.75">
      <c r="A45" s="91">
        <v>2009.3</v>
      </c>
      <c r="B45" s="85" t="str">
        <f t="shared" si="2"/>
        <v>128</v>
      </c>
      <c r="C45" s="85">
        <v>128</v>
      </c>
      <c r="D45" s="85" t="s">
        <v>409</v>
      </c>
      <c r="E45" s="85" t="s">
        <v>409</v>
      </c>
      <c r="F45" s="92">
        <v>35.2056219449264</v>
      </c>
      <c r="G45" s="94">
        <v>30</v>
      </c>
      <c r="H45" s="94">
        <v>30</v>
      </c>
      <c r="I45" s="93">
        <f t="shared" si="3"/>
        <v>35.2056219449264</v>
      </c>
      <c r="J45" s="95" t="s">
        <v>414</v>
      </c>
      <c r="K45" s="85" t="s">
        <v>409</v>
      </c>
    </row>
    <row r="46" spans="1:11" ht="12.75">
      <c r="A46" s="91">
        <v>2009.3</v>
      </c>
      <c r="B46" s="85" t="str">
        <f t="shared" si="2"/>
        <v>346</v>
      </c>
      <c r="C46" s="85">
        <v>346</v>
      </c>
      <c r="D46" s="85" t="s">
        <v>409</v>
      </c>
      <c r="E46" s="85" t="s">
        <v>409</v>
      </c>
      <c r="F46" s="92">
        <v>33.5322842277878</v>
      </c>
      <c r="G46" s="94">
        <v>30</v>
      </c>
      <c r="H46" s="94">
        <v>30</v>
      </c>
      <c r="I46" s="93">
        <f t="shared" si="3"/>
        <v>33.5322842277878</v>
      </c>
      <c r="J46" s="95" t="s">
        <v>414</v>
      </c>
      <c r="K46" s="85" t="s">
        <v>409</v>
      </c>
    </row>
    <row r="47" spans="1:11" ht="12.75">
      <c r="A47" s="91">
        <v>2009.3</v>
      </c>
      <c r="B47" s="85" t="str">
        <f t="shared" si="2"/>
        <v>125</v>
      </c>
      <c r="C47" s="85">
        <v>125</v>
      </c>
      <c r="D47" s="85" t="s">
        <v>409</v>
      </c>
      <c r="E47" s="85" t="s">
        <v>409</v>
      </c>
      <c r="F47" s="92">
        <v>33.3555412999347</v>
      </c>
      <c r="G47" s="94">
        <v>30</v>
      </c>
      <c r="H47" s="94">
        <v>30</v>
      </c>
      <c r="I47" s="93">
        <f t="shared" si="3"/>
        <v>33.3555412999347</v>
      </c>
      <c r="J47" s="95" t="s">
        <v>414</v>
      </c>
      <c r="K47" s="85" t="s">
        <v>409</v>
      </c>
    </row>
    <row r="48" spans="1:11" ht="12.75">
      <c r="A48" s="91">
        <v>2009.3</v>
      </c>
      <c r="B48" s="85" t="str">
        <f t="shared" si="2"/>
        <v>106</v>
      </c>
      <c r="C48" s="85">
        <v>106</v>
      </c>
      <c r="D48" s="85" t="s">
        <v>409</v>
      </c>
      <c r="E48" s="85" t="s">
        <v>409</v>
      </c>
      <c r="F48" s="92">
        <v>33.0473687601267</v>
      </c>
      <c r="G48" s="94">
        <v>30</v>
      </c>
      <c r="H48" s="94">
        <v>30</v>
      </c>
      <c r="I48" s="93">
        <f t="shared" si="3"/>
        <v>33.0473687601267</v>
      </c>
      <c r="J48" s="95" t="s">
        <v>414</v>
      </c>
      <c r="K48" s="85" t="s">
        <v>409</v>
      </c>
    </row>
    <row r="49" spans="1:11" ht="12.75">
      <c r="A49" s="91">
        <v>2009.3</v>
      </c>
      <c r="B49" s="85" t="str">
        <f t="shared" si="2"/>
        <v>348</v>
      </c>
      <c r="C49" s="85">
        <v>348</v>
      </c>
      <c r="D49" s="85" t="s">
        <v>409</v>
      </c>
      <c r="E49" s="85" t="s">
        <v>409</v>
      </c>
      <c r="F49" s="92">
        <v>32.0769667037224</v>
      </c>
      <c r="G49" s="94">
        <v>30</v>
      </c>
      <c r="H49" s="94">
        <v>30</v>
      </c>
      <c r="I49" s="93">
        <f t="shared" si="3"/>
        <v>32.0769667037224</v>
      </c>
      <c r="J49" s="95" t="s">
        <v>414</v>
      </c>
      <c r="K49" s="85" t="s">
        <v>409</v>
      </c>
    </row>
    <row r="50" spans="1:11" ht="12.75">
      <c r="A50" s="91">
        <v>2009.3</v>
      </c>
      <c r="B50" s="85" t="str">
        <f t="shared" si="2"/>
        <v>17</v>
      </c>
      <c r="C50" s="85">
        <v>17</v>
      </c>
      <c r="D50" s="85" t="s">
        <v>409</v>
      </c>
      <c r="E50" s="85" t="s">
        <v>409</v>
      </c>
      <c r="F50" s="92">
        <v>32.0315176210495</v>
      </c>
      <c r="G50" s="94">
        <v>30</v>
      </c>
      <c r="H50" s="94">
        <v>60</v>
      </c>
      <c r="I50" s="93">
        <f t="shared" si="3"/>
        <v>64.063035242099</v>
      </c>
      <c r="J50" s="95" t="s">
        <v>410</v>
      </c>
      <c r="K50" s="85" t="s">
        <v>409</v>
      </c>
    </row>
    <row r="51" spans="1:11" ht="12.75">
      <c r="A51" s="91">
        <v>2009.3</v>
      </c>
      <c r="B51" s="85" t="str">
        <f t="shared" si="2"/>
        <v>180</v>
      </c>
      <c r="C51" s="85">
        <v>180</v>
      </c>
      <c r="D51" s="85" t="s">
        <v>409</v>
      </c>
      <c r="E51" s="85" t="s">
        <v>409</v>
      </c>
      <c r="F51" s="92">
        <v>31.7076030048706</v>
      </c>
      <c r="G51" s="94">
        <v>30</v>
      </c>
      <c r="H51" s="94">
        <v>30</v>
      </c>
      <c r="I51" s="93">
        <f t="shared" si="3"/>
        <v>31.7076030048706</v>
      </c>
      <c r="J51" s="95" t="s">
        <v>410</v>
      </c>
      <c r="K51" s="85" t="s">
        <v>409</v>
      </c>
    </row>
    <row r="52" spans="1:11" ht="12.75">
      <c r="A52" s="91">
        <v>2009.3</v>
      </c>
      <c r="B52" s="85" t="str">
        <f t="shared" si="2"/>
        <v>124</v>
      </c>
      <c r="C52" s="85">
        <v>124</v>
      </c>
      <c r="D52" s="85" t="s">
        <v>409</v>
      </c>
      <c r="E52" s="85" t="s">
        <v>409</v>
      </c>
      <c r="F52" s="92">
        <v>31.3794390224335</v>
      </c>
      <c r="G52" s="94">
        <v>30</v>
      </c>
      <c r="H52" s="94">
        <v>30</v>
      </c>
      <c r="I52" s="93">
        <f t="shared" si="3"/>
        <v>31.3794390224335</v>
      </c>
      <c r="J52" s="95" t="s">
        <v>414</v>
      </c>
      <c r="K52" s="85" t="s">
        <v>409</v>
      </c>
    </row>
    <row r="53" spans="1:11" ht="12.75">
      <c r="A53" s="91">
        <v>2009.3</v>
      </c>
      <c r="B53" s="85" t="str">
        <f t="shared" si="2"/>
        <v>24</v>
      </c>
      <c r="C53" s="85">
        <v>24</v>
      </c>
      <c r="D53" s="85" t="s">
        <v>409</v>
      </c>
      <c r="E53" s="85" t="s">
        <v>409</v>
      </c>
      <c r="F53" s="92">
        <v>31.3552575749602</v>
      </c>
      <c r="G53" s="94">
        <v>30</v>
      </c>
      <c r="H53" s="94">
        <v>30</v>
      </c>
      <c r="I53" s="93">
        <f t="shared" si="3"/>
        <v>31.3552575749602</v>
      </c>
      <c r="J53" s="95" t="s">
        <v>410</v>
      </c>
      <c r="K53" s="85" t="s">
        <v>409</v>
      </c>
    </row>
    <row r="54" spans="1:11" ht="12.75">
      <c r="A54" s="91">
        <v>2009.3</v>
      </c>
      <c r="B54" s="85" t="str">
        <f t="shared" si="2"/>
        <v>234</v>
      </c>
      <c r="C54" s="85">
        <v>234</v>
      </c>
      <c r="D54" s="85" t="s">
        <v>409</v>
      </c>
      <c r="E54" s="85" t="s">
        <v>409</v>
      </c>
      <c r="F54" s="92">
        <v>15.657677852125</v>
      </c>
      <c r="G54" s="94">
        <v>30</v>
      </c>
      <c r="H54" s="94">
        <v>60</v>
      </c>
      <c r="I54" s="93">
        <f t="shared" si="3"/>
        <v>31.31535570425</v>
      </c>
      <c r="J54" s="95" t="s">
        <v>410</v>
      </c>
      <c r="K54" s="85" t="s">
        <v>409</v>
      </c>
    </row>
    <row r="55" spans="1:11" ht="12.75">
      <c r="A55" s="91">
        <v>2009.3</v>
      </c>
      <c r="B55" s="85" t="str">
        <f t="shared" si="2"/>
        <v>27</v>
      </c>
      <c r="C55" s="85">
        <v>27</v>
      </c>
      <c r="D55" s="85" t="s">
        <v>409</v>
      </c>
      <c r="E55" s="85" t="s">
        <v>409</v>
      </c>
      <c r="F55" s="92">
        <v>30.5452262466167</v>
      </c>
      <c r="G55" s="94">
        <v>30</v>
      </c>
      <c r="H55" s="94">
        <v>30</v>
      </c>
      <c r="I55" s="93">
        <f t="shared" si="3"/>
        <v>30.5452262466167</v>
      </c>
      <c r="J55" s="95" t="s">
        <v>410</v>
      </c>
      <c r="K55" s="85" t="s">
        <v>409</v>
      </c>
    </row>
    <row r="56" spans="1:11" ht="12.75">
      <c r="A56" s="91">
        <v>2009.3</v>
      </c>
      <c r="B56" s="85" t="str">
        <f t="shared" si="2"/>
        <v>56</v>
      </c>
      <c r="C56" s="85">
        <v>56</v>
      </c>
      <c r="D56" s="85" t="s">
        <v>409</v>
      </c>
      <c r="E56" s="85" t="s">
        <v>409</v>
      </c>
      <c r="F56" s="92">
        <v>29.7122033799296</v>
      </c>
      <c r="G56" s="94">
        <v>30</v>
      </c>
      <c r="H56" s="94">
        <v>60</v>
      </c>
      <c r="I56" s="93">
        <f t="shared" si="3"/>
        <v>59.4244067598592</v>
      </c>
      <c r="J56" s="95" t="s">
        <v>410</v>
      </c>
      <c r="K56" s="85" t="s">
        <v>409</v>
      </c>
    </row>
    <row r="57" spans="1:11" ht="12.75">
      <c r="A57" s="91">
        <v>2009.3</v>
      </c>
      <c r="B57" s="85" t="str">
        <f t="shared" si="2"/>
        <v>248</v>
      </c>
      <c r="C57" s="85">
        <v>248</v>
      </c>
      <c r="D57" s="85" t="s">
        <v>409</v>
      </c>
      <c r="E57" s="85" t="s">
        <v>409</v>
      </c>
      <c r="F57" s="92">
        <v>14.6232006152726</v>
      </c>
      <c r="G57" s="94">
        <v>30</v>
      </c>
      <c r="H57" s="94">
        <v>30</v>
      </c>
      <c r="I57" s="93">
        <f t="shared" si="3"/>
        <v>14.6232006152726</v>
      </c>
      <c r="J57" s="95" t="s">
        <v>410</v>
      </c>
      <c r="K57" s="85" t="s">
        <v>409</v>
      </c>
    </row>
    <row r="58" spans="1:11" ht="12.75">
      <c r="A58" s="91">
        <v>2009.3</v>
      </c>
      <c r="B58" s="85" t="str">
        <f t="shared" si="2"/>
        <v>21</v>
      </c>
      <c r="C58" s="85">
        <v>21</v>
      </c>
      <c r="D58" s="85" t="s">
        <v>409</v>
      </c>
      <c r="E58" s="85" t="s">
        <v>409</v>
      </c>
      <c r="F58" s="92">
        <v>28.7559668375901</v>
      </c>
      <c r="G58" s="94">
        <v>30</v>
      </c>
      <c r="H58" s="94">
        <v>30</v>
      </c>
      <c r="I58" s="93">
        <f t="shared" si="3"/>
        <v>28.7559668375901</v>
      </c>
      <c r="J58" s="95" t="s">
        <v>410</v>
      </c>
      <c r="K58" s="85" t="s">
        <v>409</v>
      </c>
    </row>
    <row r="59" spans="1:11" ht="12.75">
      <c r="A59" s="91">
        <v>2009.3</v>
      </c>
      <c r="B59" s="85" t="str">
        <f t="shared" si="2"/>
        <v>181</v>
      </c>
      <c r="C59" s="85">
        <v>181</v>
      </c>
      <c r="D59" s="85" t="s">
        <v>409</v>
      </c>
      <c r="E59" s="85" t="s">
        <v>409</v>
      </c>
      <c r="F59" s="92">
        <v>28.4698768682081</v>
      </c>
      <c r="G59" s="94">
        <v>30</v>
      </c>
      <c r="H59" s="94">
        <v>30</v>
      </c>
      <c r="I59" s="93">
        <f t="shared" si="3"/>
        <v>28.4698768682081</v>
      </c>
      <c r="J59" s="95" t="s">
        <v>410</v>
      </c>
      <c r="K59" s="85" t="s">
        <v>409</v>
      </c>
    </row>
    <row r="60" spans="1:11" ht="12.75">
      <c r="A60" s="91">
        <v>2009.3</v>
      </c>
      <c r="B60" s="85" t="str">
        <f t="shared" si="2"/>
        <v>222</v>
      </c>
      <c r="C60" s="85">
        <v>222</v>
      </c>
      <c r="D60" s="85" t="s">
        <v>409</v>
      </c>
      <c r="E60" s="85" t="s">
        <v>409</v>
      </c>
      <c r="F60" s="92">
        <v>14.1914395845429</v>
      </c>
      <c r="G60" s="94">
        <v>30</v>
      </c>
      <c r="H60" s="94">
        <v>60</v>
      </c>
      <c r="I60" s="93">
        <f t="shared" si="3"/>
        <v>28.3828791690858</v>
      </c>
      <c r="J60" s="95" t="s">
        <v>410</v>
      </c>
      <c r="K60" s="85" t="s">
        <v>409</v>
      </c>
    </row>
    <row r="61" spans="1:11" ht="12.75">
      <c r="A61" s="91">
        <v>2009.3</v>
      </c>
      <c r="B61" s="85" t="str">
        <f t="shared" si="2"/>
        <v>11</v>
      </c>
      <c r="C61" s="85">
        <v>11</v>
      </c>
      <c r="D61" s="85" t="s">
        <v>409</v>
      </c>
      <c r="E61" s="85" t="s">
        <v>409</v>
      </c>
      <c r="F61" s="92">
        <v>56.0363866758875</v>
      </c>
      <c r="G61" s="94">
        <v>30</v>
      </c>
      <c r="H61" s="94">
        <v>15</v>
      </c>
      <c r="I61" s="93">
        <f t="shared" si="3"/>
        <v>28.01819333794375</v>
      </c>
      <c r="J61" s="95" t="s">
        <v>410</v>
      </c>
      <c r="K61" s="85" t="s">
        <v>409</v>
      </c>
    </row>
    <row r="62" spans="1:11" ht="12.75">
      <c r="A62" s="91">
        <v>2009.3</v>
      </c>
      <c r="B62" s="85" t="str">
        <f t="shared" si="2"/>
        <v>347</v>
      </c>
      <c r="C62" s="85">
        <v>347</v>
      </c>
      <c r="D62" s="85" t="s">
        <v>409</v>
      </c>
      <c r="E62" s="85" t="s">
        <v>409</v>
      </c>
      <c r="F62" s="92">
        <v>27.8910853471423</v>
      </c>
      <c r="G62" s="94">
        <v>30</v>
      </c>
      <c r="H62" s="94">
        <v>60</v>
      </c>
      <c r="I62" s="93">
        <f t="shared" si="3"/>
        <v>55.7821706942846</v>
      </c>
      <c r="J62" s="95" t="s">
        <v>414</v>
      </c>
      <c r="K62" s="85" t="s">
        <v>409</v>
      </c>
    </row>
    <row r="63" spans="1:11" ht="12.75">
      <c r="A63" s="91">
        <v>2009.3</v>
      </c>
      <c r="B63" s="85" t="str">
        <f t="shared" si="2"/>
        <v>221</v>
      </c>
      <c r="C63" s="85">
        <v>221</v>
      </c>
      <c r="D63" s="85" t="s">
        <v>409</v>
      </c>
      <c r="E63" s="85" t="s">
        <v>409</v>
      </c>
      <c r="F63" s="92">
        <v>13.5200686239256</v>
      </c>
      <c r="G63" s="94">
        <v>30</v>
      </c>
      <c r="H63" s="94">
        <v>60</v>
      </c>
      <c r="I63" s="93">
        <f t="shared" si="3"/>
        <v>27.0401372478512</v>
      </c>
      <c r="J63" s="95" t="s">
        <v>410</v>
      </c>
      <c r="K63" s="85" t="s">
        <v>409</v>
      </c>
    </row>
    <row r="64" spans="1:11" ht="12.75">
      <c r="A64" s="91">
        <v>2009.3</v>
      </c>
      <c r="B64" s="85" t="str">
        <f t="shared" si="2"/>
        <v>70</v>
      </c>
      <c r="C64" s="85">
        <v>70</v>
      </c>
      <c r="D64" s="85" t="s">
        <v>409</v>
      </c>
      <c r="E64" s="85" t="s">
        <v>409</v>
      </c>
      <c r="F64" s="92">
        <v>26.9667095444832</v>
      </c>
      <c r="G64" s="94">
        <v>15</v>
      </c>
      <c r="H64" s="94">
        <v>15</v>
      </c>
      <c r="I64" s="93">
        <f t="shared" si="3"/>
        <v>26.9667095444832</v>
      </c>
      <c r="J64" s="95" t="s">
        <v>410</v>
      </c>
      <c r="K64" s="85" t="s">
        <v>409</v>
      </c>
    </row>
    <row r="65" spans="1:11" ht="12.75">
      <c r="A65" s="91">
        <v>2009.3</v>
      </c>
      <c r="B65" s="85" t="str">
        <f t="shared" si="2"/>
        <v>23</v>
      </c>
      <c r="C65" s="85">
        <v>23</v>
      </c>
      <c r="D65" s="85" t="s">
        <v>409</v>
      </c>
      <c r="E65" s="85" t="s">
        <v>409</v>
      </c>
      <c r="F65" s="92">
        <v>26.7563642542316</v>
      </c>
      <c r="G65" s="94">
        <v>30</v>
      </c>
      <c r="H65" s="94">
        <v>30</v>
      </c>
      <c r="I65" s="93">
        <f t="shared" si="3"/>
        <v>26.7563642542316</v>
      </c>
      <c r="J65" s="95" t="s">
        <v>414</v>
      </c>
      <c r="K65" s="85" t="s">
        <v>409</v>
      </c>
    </row>
    <row r="66" spans="1:11" ht="12.75">
      <c r="A66" s="91">
        <v>2009.3</v>
      </c>
      <c r="B66" s="85" t="str">
        <f t="shared" si="2"/>
        <v>271EB</v>
      </c>
      <c r="C66" s="85">
        <v>271</v>
      </c>
      <c r="D66" s="213" t="s">
        <v>613</v>
      </c>
      <c r="E66" s="85" t="s">
        <v>409</v>
      </c>
      <c r="F66" s="92">
        <v>25.6089813426509</v>
      </c>
      <c r="G66" s="94">
        <v>30</v>
      </c>
      <c r="H66" s="94">
        <v>30</v>
      </c>
      <c r="I66" s="93">
        <f>F66*H66/G66*0.75</f>
        <v>19.206736006988173</v>
      </c>
      <c r="J66" s="95" t="s">
        <v>414</v>
      </c>
      <c r="K66" s="213" t="s">
        <v>614</v>
      </c>
    </row>
    <row r="67" spans="1:11" ht="12.75">
      <c r="A67" s="91">
        <v>2009.3</v>
      </c>
      <c r="B67" s="85" t="str">
        <f aca="true" t="shared" si="4" ref="B67:B98">C67&amp;IF(D67=" ",IF(E67=" ",,E67),D67)&amp;IF(D67=" ",,IF(E67=" ",,E67))</f>
        <v>271</v>
      </c>
      <c r="C67" s="85">
        <v>271</v>
      </c>
      <c r="D67" s="85" t="s">
        <v>409</v>
      </c>
      <c r="E67" s="85" t="s">
        <v>409</v>
      </c>
      <c r="F67" s="92">
        <v>25.6089813426509</v>
      </c>
      <c r="G67" s="94">
        <v>30</v>
      </c>
      <c r="H67" s="94">
        <v>30</v>
      </c>
      <c r="I67" s="93">
        <f aca="true" t="shared" si="5" ref="I67:I98">F67*H67/G67</f>
        <v>25.6089813426509</v>
      </c>
      <c r="J67" s="95" t="s">
        <v>414</v>
      </c>
      <c r="K67" s="85" t="s">
        <v>409</v>
      </c>
    </row>
    <row r="68" spans="1:11" ht="12.75">
      <c r="A68" s="91">
        <v>2009.3</v>
      </c>
      <c r="B68" s="85" t="str">
        <f t="shared" si="4"/>
        <v>164</v>
      </c>
      <c r="C68" s="85">
        <v>164</v>
      </c>
      <c r="D68" s="85" t="s">
        <v>409</v>
      </c>
      <c r="E68" s="85" t="s">
        <v>409</v>
      </c>
      <c r="F68" s="92">
        <v>50.9827432614727</v>
      </c>
      <c r="G68" s="94">
        <v>60</v>
      </c>
      <c r="H68" s="94">
        <v>30</v>
      </c>
      <c r="I68" s="93">
        <f t="shared" si="5"/>
        <v>25.49137163073635</v>
      </c>
      <c r="J68" s="95" t="s">
        <v>410</v>
      </c>
      <c r="K68" s="85" t="s">
        <v>409</v>
      </c>
    </row>
    <row r="69" spans="1:11" ht="12.75">
      <c r="A69" s="91">
        <v>2009.3</v>
      </c>
      <c r="B69" s="85" t="str">
        <f t="shared" si="4"/>
        <v>331</v>
      </c>
      <c r="C69" s="85">
        <v>331</v>
      </c>
      <c r="D69" s="85" t="s">
        <v>409</v>
      </c>
      <c r="E69" s="85" t="s">
        <v>409</v>
      </c>
      <c r="F69" s="92">
        <v>25.2576916740237</v>
      </c>
      <c r="G69" s="94">
        <v>30</v>
      </c>
      <c r="H69" s="94">
        <v>60</v>
      </c>
      <c r="I69" s="93">
        <f t="shared" si="5"/>
        <v>50.5153833480474</v>
      </c>
      <c r="J69" s="95" t="s">
        <v>410</v>
      </c>
      <c r="K69" s="85" t="s">
        <v>409</v>
      </c>
    </row>
    <row r="70" spans="1:11" ht="12.75">
      <c r="A70" s="91">
        <v>2009.3</v>
      </c>
      <c r="B70" s="85" t="str">
        <f t="shared" si="4"/>
        <v>148</v>
      </c>
      <c r="C70" s="85">
        <v>148</v>
      </c>
      <c r="D70" s="85" t="s">
        <v>409</v>
      </c>
      <c r="E70" s="85" t="s">
        <v>409</v>
      </c>
      <c r="F70" s="92">
        <v>24.0310415352364</v>
      </c>
      <c r="G70" s="94">
        <v>30</v>
      </c>
      <c r="H70" s="94">
        <v>30</v>
      </c>
      <c r="I70" s="93">
        <f t="shared" si="5"/>
        <v>24.0310415352364</v>
      </c>
      <c r="J70" s="95" t="s">
        <v>410</v>
      </c>
      <c r="K70" s="85" t="s">
        <v>409</v>
      </c>
    </row>
    <row r="71" spans="1:11" ht="12.75">
      <c r="A71" s="91">
        <v>2009.3</v>
      </c>
      <c r="B71" s="85" t="str">
        <f t="shared" si="4"/>
        <v>204</v>
      </c>
      <c r="C71" s="85">
        <v>204</v>
      </c>
      <c r="D71" s="85" t="s">
        <v>409</v>
      </c>
      <c r="E71" s="85" t="s">
        <v>409</v>
      </c>
      <c r="F71" s="92">
        <v>11.978477804066</v>
      </c>
      <c r="G71" s="94">
        <v>30</v>
      </c>
      <c r="H71" s="94">
        <v>60</v>
      </c>
      <c r="I71" s="93">
        <f t="shared" si="5"/>
        <v>23.956955608132</v>
      </c>
      <c r="J71" s="95" t="s">
        <v>410</v>
      </c>
      <c r="K71" s="85" t="s">
        <v>409</v>
      </c>
    </row>
    <row r="72" spans="1:11" ht="12.75">
      <c r="A72" s="91">
        <v>2009.3</v>
      </c>
      <c r="B72" s="85" t="str">
        <f t="shared" si="4"/>
        <v>107</v>
      </c>
      <c r="C72" s="85">
        <v>107</v>
      </c>
      <c r="D72" s="85" t="s">
        <v>409</v>
      </c>
      <c r="E72" s="85" t="s">
        <v>409</v>
      </c>
      <c r="F72" s="92">
        <v>23.0045097601093</v>
      </c>
      <c r="G72" s="94">
        <v>30</v>
      </c>
      <c r="H72" s="94">
        <v>30</v>
      </c>
      <c r="I72" s="93">
        <f t="shared" si="5"/>
        <v>23.004509760109304</v>
      </c>
      <c r="J72" s="95" t="s">
        <v>414</v>
      </c>
      <c r="K72" s="85" t="s">
        <v>409</v>
      </c>
    </row>
    <row r="73" spans="1:11" ht="12.75">
      <c r="A73" s="91">
        <v>2009.3</v>
      </c>
      <c r="B73" s="85" t="str">
        <f t="shared" si="4"/>
        <v>255</v>
      </c>
      <c r="C73" s="85">
        <v>255</v>
      </c>
      <c r="D73" s="85" t="s">
        <v>409</v>
      </c>
      <c r="E73" s="85" t="s">
        <v>409</v>
      </c>
      <c r="F73" s="92">
        <v>22.3612805771207</v>
      </c>
      <c r="G73" s="94">
        <v>30</v>
      </c>
      <c r="H73" s="94">
        <v>30</v>
      </c>
      <c r="I73" s="93">
        <f t="shared" si="5"/>
        <v>22.3612805771207</v>
      </c>
      <c r="J73" s="95" t="s">
        <v>414</v>
      </c>
      <c r="K73" s="85" t="s">
        <v>409</v>
      </c>
    </row>
    <row r="74" spans="1:11" ht="12.75">
      <c r="A74" s="91">
        <v>2009.3</v>
      </c>
      <c r="B74" s="85" t="str">
        <f t="shared" si="4"/>
        <v>240</v>
      </c>
      <c r="C74" s="85">
        <v>240</v>
      </c>
      <c r="D74" s="85" t="s">
        <v>409</v>
      </c>
      <c r="E74" s="85" t="s">
        <v>409</v>
      </c>
      <c r="F74" s="92">
        <v>21.6327926553671</v>
      </c>
      <c r="G74" s="94">
        <v>30</v>
      </c>
      <c r="H74" s="94">
        <v>30</v>
      </c>
      <c r="I74" s="93">
        <f t="shared" si="5"/>
        <v>21.6327926553671</v>
      </c>
      <c r="J74" s="95" t="s">
        <v>410</v>
      </c>
      <c r="K74" s="85" t="s">
        <v>409</v>
      </c>
    </row>
    <row r="75" spans="1:11" ht="12.75">
      <c r="A75" s="91">
        <v>2009.3</v>
      </c>
      <c r="B75" s="85" t="str">
        <f t="shared" si="4"/>
        <v>238</v>
      </c>
      <c r="C75" s="85">
        <v>238</v>
      </c>
      <c r="D75" s="85" t="s">
        <v>409</v>
      </c>
      <c r="E75" s="85" t="s">
        <v>409</v>
      </c>
      <c r="F75" s="92">
        <v>10.5289029912931</v>
      </c>
      <c r="G75" s="94">
        <v>30</v>
      </c>
      <c r="H75" s="94">
        <v>60</v>
      </c>
      <c r="I75" s="93">
        <f t="shared" si="5"/>
        <v>21.0578059825862</v>
      </c>
      <c r="J75" s="95" t="s">
        <v>410</v>
      </c>
      <c r="K75" s="85" t="s">
        <v>409</v>
      </c>
    </row>
    <row r="76" spans="1:11" ht="12.75">
      <c r="A76" s="91">
        <v>2009.3</v>
      </c>
      <c r="B76" s="85" t="str">
        <f t="shared" si="4"/>
        <v>901DART</v>
      </c>
      <c r="C76" s="85">
        <v>901</v>
      </c>
      <c r="D76" s="85" t="s">
        <v>409</v>
      </c>
      <c r="E76" s="85" t="s">
        <v>418</v>
      </c>
      <c r="F76" s="92">
        <v>19.4789621805902</v>
      </c>
      <c r="G76" s="94">
        <v>30</v>
      </c>
      <c r="H76" s="94">
        <v>30</v>
      </c>
      <c r="I76" s="93">
        <f t="shared" si="5"/>
        <v>19.4789621805902</v>
      </c>
      <c r="J76" s="95" t="s">
        <v>410</v>
      </c>
      <c r="K76" s="85" t="s">
        <v>418</v>
      </c>
    </row>
    <row r="77" spans="1:11" ht="12.75">
      <c r="A77" s="91">
        <v>2009.3</v>
      </c>
      <c r="B77" s="85" t="str">
        <f t="shared" si="4"/>
        <v>903DART</v>
      </c>
      <c r="C77" s="85">
        <v>903</v>
      </c>
      <c r="D77" s="85" t="s">
        <v>409</v>
      </c>
      <c r="E77" s="85" t="s">
        <v>418</v>
      </c>
      <c r="F77" s="92">
        <v>17.8392093134743</v>
      </c>
      <c r="G77" s="94">
        <v>30</v>
      </c>
      <c r="H77" s="94">
        <v>30</v>
      </c>
      <c r="I77" s="93">
        <f t="shared" si="5"/>
        <v>17.839209313474303</v>
      </c>
      <c r="J77" s="95" t="s">
        <v>410</v>
      </c>
      <c r="K77" s="85" t="s">
        <v>418</v>
      </c>
    </row>
    <row r="78" spans="1:11" ht="12.75">
      <c r="A78" s="91">
        <v>2009.3</v>
      </c>
      <c r="B78" s="85" t="str">
        <f t="shared" si="4"/>
        <v>132TB</v>
      </c>
      <c r="C78" s="85">
        <v>132</v>
      </c>
      <c r="D78" s="85" t="s">
        <v>409</v>
      </c>
      <c r="E78" s="85" t="s">
        <v>412</v>
      </c>
      <c r="F78" s="92">
        <v>35.0371950263123</v>
      </c>
      <c r="G78" s="94">
        <v>60</v>
      </c>
      <c r="H78" s="94">
        <v>15</v>
      </c>
      <c r="I78" s="93">
        <f t="shared" si="5"/>
        <v>8.759298756578074</v>
      </c>
      <c r="J78" s="95" t="s">
        <v>414</v>
      </c>
      <c r="K78" s="85" t="s">
        <v>409</v>
      </c>
    </row>
    <row r="79" spans="1:11" ht="12.75">
      <c r="A79" s="91">
        <v>2009.3</v>
      </c>
      <c r="B79" s="85" t="str">
        <f t="shared" si="4"/>
        <v>187</v>
      </c>
      <c r="C79" s="85">
        <v>187</v>
      </c>
      <c r="D79" s="85" t="s">
        <v>409</v>
      </c>
      <c r="E79" s="85" t="s">
        <v>409</v>
      </c>
      <c r="F79" s="92">
        <v>33.4179879536718</v>
      </c>
      <c r="G79" s="94">
        <v>60</v>
      </c>
      <c r="H79" s="94">
        <v>60</v>
      </c>
      <c r="I79" s="93">
        <f t="shared" si="5"/>
        <v>33.4179879536718</v>
      </c>
      <c r="J79" s="95" t="s">
        <v>410</v>
      </c>
      <c r="K79" s="85" t="s">
        <v>409</v>
      </c>
    </row>
    <row r="80" spans="1:11" ht="12.75">
      <c r="A80" s="91">
        <v>2009.3</v>
      </c>
      <c r="B80" s="85" t="str">
        <f t="shared" si="4"/>
        <v>33</v>
      </c>
      <c r="C80" s="85">
        <v>33</v>
      </c>
      <c r="D80" s="85" t="s">
        <v>409</v>
      </c>
      <c r="E80" s="85" t="s">
        <v>409</v>
      </c>
      <c r="F80" s="92">
        <v>24.9404638659762</v>
      </c>
      <c r="G80" s="94">
        <v>45</v>
      </c>
      <c r="H80" s="94">
        <v>30</v>
      </c>
      <c r="I80" s="93">
        <f t="shared" si="5"/>
        <v>16.6269759106508</v>
      </c>
      <c r="J80" s="95" t="s">
        <v>410</v>
      </c>
      <c r="K80" s="85" t="s">
        <v>409</v>
      </c>
    </row>
    <row r="81" spans="1:11" ht="12.75">
      <c r="A81" s="91">
        <v>2009.3</v>
      </c>
      <c r="B81" s="85" t="str">
        <f t="shared" si="4"/>
        <v>236</v>
      </c>
      <c r="C81" s="85">
        <v>236</v>
      </c>
      <c r="D81" s="85" t="s">
        <v>409</v>
      </c>
      <c r="E81" s="85" t="s">
        <v>409</v>
      </c>
      <c r="F81" s="92">
        <v>8.19775219331844</v>
      </c>
      <c r="G81" s="94">
        <v>30</v>
      </c>
      <c r="H81" s="94">
        <v>60</v>
      </c>
      <c r="I81" s="93">
        <f t="shared" si="5"/>
        <v>16.39550438663688</v>
      </c>
      <c r="J81" s="95" t="s">
        <v>410</v>
      </c>
      <c r="K81" s="85" t="s">
        <v>409</v>
      </c>
    </row>
    <row r="82" spans="1:11" ht="12.75">
      <c r="A82" s="91">
        <v>2009.3</v>
      </c>
      <c r="B82" s="85" t="str">
        <f t="shared" si="4"/>
        <v>168</v>
      </c>
      <c r="C82" s="85">
        <v>168</v>
      </c>
      <c r="D82" s="85" t="s">
        <v>409</v>
      </c>
      <c r="E82" s="85" t="s">
        <v>409</v>
      </c>
      <c r="F82" s="92">
        <v>31.5407816374</v>
      </c>
      <c r="G82" s="94">
        <v>60</v>
      </c>
      <c r="H82" s="94">
        <v>30</v>
      </c>
      <c r="I82" s="93">
        <f t="shared" si="5"/>
        <v>15.7703908187</v>
      </c>
      <c r="J82" s="95" t="s">
        <v>410</v>
      </c>
      <c r="K82" s="85" t="s">
        <v>409</v>
      </c>
    </row>
    <row r="83" spans="1:11" ht="12.75">
      <c r="A83" s="91">
        <v>2009.3</v>
      </c>
      <c r="B83" s="85" t="str">
        <f t="shared" si="4"/>
        <v>39</v>
      </c>
      <c r="C83" s="85">
        <v>39</v>
      </c>
      <c r="D83" s="85" t="s">
        <v>409</v>
      </c>
      <c r="E83" s="85" t="s">
        <v>409</v>
      </c>
      <c r="F83" s="92">
        <v>22.3506183488051</v>
      </c>
      <c r="G83" s="94">
        <v>45</v>
      </c>
      <c r="H83" s="94">
        <v>60</v>
      </c>
      <c r="I83" s="93">
        <f t="shared" si="5"/>
        <v>29.800824465073468</v>
      </c>
      <c r="J83" s="95" t="s">
        <v>410</v>
      </c>
      <c r="K83" s="85" t="s">
        <v>409</v>
      </c>
    </row>
    <row r="84" spans="1:11" ht="12.75">
      <c r="A84" s="91">
        <v>2009.3</v>
      </c>
      <c r="B84" s="85" t="str">
        <f t="shared" si="4"/>
        <v>131TB</v>
      </c>
      <c r="C84" s="85">
        <v>131</v>
      </c>
      <c r="D84" s="85" t="s">
        <v>409</v>
      </c>
      <c r="E84" s="85" t="s">
        <v>412</v>
      </c>
      <c r="F84" s="92">
        <v>29.5473604037482</v>
      </c>
      <c r="G84" s="94">
        <v>60</v>
      </c>
      <c r="H84" s="94">
        <v>30</v>
      </c>
      <c r="I84" s="93">
        <f t="shared" si="5"/>
        <v>14.7736802018741</v>
      </c>
      <c r="J84" s="95" t="s">
        <v>414</v>
      </c>
      <c r="K84" s="85" t="s">
        <v>409</v>
      </c>
    </row>
    <row r="85" spans="1:11" ht="12.75">
      <c r="A85" s="91">
        <v>2009.3</v>
      </c>
      <c r="B85" s="85" t="str">
        <f t="shared" si="4"/>
        <v>233</v>
      </c>
      <c r="C85" s="85">
        <v>233</v>
      </c>
      <c r="D85" s="85" t="s">
        <v>409</v>
      </c>
      <c r="E85" s="85" t="s">
        <v>409</v>
      </c>
      <c r="F85" s="92">
        <v>14.369795470296</v>
      </c>
      <c r="G85" s="94">
        <v>30</v>
      </c>
      <c r="H85" s="94">
        <v>60</v>
      </c>
      <c r="I85" s="93">
        <f t="shared" si="5"/>
        <v>28.739590940592</v>
      </c>
      <c r="J85" s="95" t="s">
        <v>410</v>
      </c>
      <c r="K85" s="85" t="s">
        <v>409</v>
      </c>
    </row>
    <row r="86" spans="1:11" ht="12.75">
      <c r="A86" s="91">
        <v>2009.3</v>
      </c>
      <c r="B86" s="85" t="str">
        <f t="shared" si="4"/>
        <v>249</v>
      </c>
      <c r="C86" s="85">
        <v>249</v>
      </c>
      <c r="D86" s="85" t="s">
        <v>409</v>
      </c>
      <c r="E86" s="85" t="s">
        <v>409</v>
      </c>
      <c r="F86" s="92">
        <v>13.3797881027837</v>
      </c>
      <c r="G86" s="94">
        <v>60</v>
      </c>
      <c r="H86" s="94">
        <v>60</v>
      </c>
      <c r="I86" s="93">
        <f t="shared" si="5"/>
        <v>13.3797881027837</v>
      </c>
      <c r="J86" s="95" t="s">
        <v>410</v>
      </c>
      <c r="K86" s="85" t="s">
        <v>409</v>
      </c>
    </row>
    <row r="87" spans="1:11" ht="12.75">
      <c r="A87" s="91">
        <v>2009.3</v>
      </c>
      <c r="B87" s="85" t="str">
        <f t="shared" si="4"/>
        <v>183</v>
      </c>
      <c r="C87" s="85">
        <v>183</v>
      </c>
      <c r="D87" s="85" t="s">
        <v>409</v>
      </c>
      <c r="E87" s="85" t="s">
        <v>409</v>
      </c>
      <c r="F87" s="92">
        <v>23.0725701970063</v>
      </c>
      <c r="G87" s="94">
        <v>60</v>
      </c>
      <c r="H87" s="94">
        <v>30</v>
      </c>
      <c r="I87" s="93">
        <f t="shared" si="5"/>
        <v>11.53628509850315</v>
      </c>
      <c r="J87" s="95" t="s">
        <v>410</v>
      </c>
      <c r="K87" s="85" t="s">
        <v>409</v>
      </c>
    </row>
    <row r="88" spans="1:11" ht="12.75">
      <c r="A88" s="91">
        <v>2009.3</v>
      </c>
      <c r="B88" s="85" t="str">
        <f t="shared" si="4"/>
        <v>149</v>
      </c>
      <c r="C88" s="85">
        <v>149</v>
      </c>
      <c r="D88" s="85" t="s">
        <v>409</v>
      </c>
      <c r="E88" s="85" t="s">
        <v>409</v>
      </c>
      <c r="F88" s="92">
        <v>11.0406091370558</v>
      </c>
      <c r="G88" s="94">
        <v>60</v>
      </c>
      <c r="H88" s="94">
        <v>60</v>
      </c>
      <c r="I88" s="93">
        <f t="shared" si="5"/>
        <v>11.0406091370558</v>
      </c>
      <c r="J88" s="95" t="s">
        <v>410</v>
      </c>
      <c r="K88" s="85" t="s">
        <v>409</v>
      </c>
    </row>
    <row r="89" spans="1:11" ht="12.75">
      <c r="A89" s="91">
        <v>2009.3</v>
      </c>
      <c r="B89" s="85" t="str">
        <f t="shared" si="4"/>
        <v>915</v>
      </c>
      <c r="C89" s="85">
        <v>915</v>
      </c>
      <c r="D89" s="85" t="s">
        <v>409</v>
      </c>
      <c r="E89" s="85" t="s">
        <v>409</v>
      </c>
      <c r="F89" s="92">
        <v>19.7929561303017</v>
      </c>
      <c r="G89" s="94">
        <v>60</v>
      </c>
      <c r="H89" s="94">
        <v>30</v>
      </c>
      <c r="I89" s="93">
        <f t="shared" si="5"/>
        <v>9.89647806515085</v>
      </c>
      <c r="J89" s="95" t="s">
        <v>410</v>
      </c>
      <c r="K89" s="85" t="s">
        <v>409</v>
      </c>
    </row>
    <row r="90" spans="1:11" ht="12.75">
      <c r="A90" s="91">
        <v>2009.3</v>
      </c>
      <c r="B90" s="85" t="str">
        <f t="shared" si="4"/>
        <v>182</v>
      </c>
      <c r="C90" s="85">
        <v>182</v>
      </c>
      <c r="D90" s="85" t="s">
        <v>409</v>
      </c>
      <c r="E90" s="85" t="s">
        <v>409</v>
      </c>
      <c r="F90" s="92">
        <v>19.5568293047896</v>
      </c>
      <c r="G90" s="94">
        <v>60</v>
      </c>
      <c r="H90" s="94">
        <v>30</v>
      </c>
      <c r="I90" s="93">
        <f t="shared" si="5"/>
        <v>9.7784146523948</v>
      </c>
      <c r="J90" s="95" t="s">
        <v>410</v>
      </c>
      <c r="K90" s="85" t="s">
        <v>409</v>
      </c>
    </row>
    <row r="91" spans="1:11" ht="12.75">
      <c r="A91" s="91">
        <v>2009.3</v>
      </c>
      <c r="B91" s="85" t="str">
        <f t="shared" si="4"/>
        <v>209</v>
      </c>
      <c r="C91" s="85">
        <v>209</v>
      </c>
      <c r="D91" s="85" t="s">
        <v>409</v>
      </c>
      <c r="E91" s="85" t="s">
        <v>409</v>
      </c>
      <c r="F91" s="92">
        <v>9.19667798509541</v>
      </c>
      <c r="G91" s="94">
        <v>60</v>
      </c>
      <c r="H91" s="94">
        <v>60</v>
      </c>
      <c r="I91" s="93">
        <f t="shared" si="5"/>
        <v>9.19667798509541</v>
      </c>
      <c r="J91" s="95" t="s">
        <v>410</v>
      </c>
      <c r="K91" s="85" t="s">
        <v>409</v>
      </c>
    </row>
    <row r="92" spans="1:11" ht="12.75">
      <c r="A92" s="91">
        <v>2009.3</v>
      </c>
      <c r="B92" s="85" t="str">
        <f t="shared" si="4"/>
        <v>155</v>
      </c>
      <c r="C92" s="85">
        <v>155</v>
      </c>
      <c r="D92" s="85" t="s">
        <v>409</v>
      </c>
      <c r="E92" s="85" t="s">
        <v>409</v>
      </c>
      <c r="F92" s="92">
        <v>16.5093245109051</v>
      </c>
      <c r="G92" s="94">
        <v>60</v>
      </c>
      <c r="H92" s="94">
        <v>30</v>
      </c>
      <c r="I92" s="93">
        <f t="shared" si="5"/>
        <v>8.25466225545255</v>
      </c>
      <c r="J92" s="95" t="s">
        <v>410</v>
      </c>
      <c r="K92" s="85" t="s">
        <v>409</v>
      </c>
    </row>
    <row r="93" spans="1:11" ht="12.75">
      <c r="A93" s="91">
        <v>2009.3</v>
      </c>
      <c r="B93" s="85" t="str">
        <f t="shared" si="4"/>
        <v>25</v>
      </c>
      <c r="C93" s="85">
        <v>25</v>
      </c>
      <c r="D93" s="85" t="s">
        <v>409</v>
      </c>
      <c r="E93" s="85" t="s">
        <v>409</v>
      </c>
      <c r="F93" s="92">
        <v>14.7148372862659</v>
      </c>
      <c r="G93" s="94">
        <v>60</v>
      </c>
      <c r="H93" s="94">
        <v>30</v>
      </c>
      <c r="I93" s="93">
        <f t="shared" si="5"/>
        <v>7.35741864313295</v>
      </c>
      <c r="J93" s="95" t="s">
        <v>410</v>
      </c>
      <c r="K93" s="85" t="s">
        <v>409</v>
      </c>
    </row>
    <row r="94" spans="1:11" ht="12.75">
      <c r="A94" s="91">
        <v>2009.3</v>
      </c>
      <c r="B94" s="85" t="str">
        <f t="shared" si="4"/>
        <v>153</v>
      </c>
      <c r="C94" s="85">
        <v>153</v>
      </c>
      <c r="D94" s="85" t="s">
        <v>409</v>
      </c>
      <c r="E94" s="85" t="s">
        <v>409</v>
      </c>
      <c r="F94" s="92">
        <v>13.6543330087634</v>
      </c>
      <c r="G94" s="94">
        <v>60</v>
      </c>
      <c r="H94" s="94">
        <v>30</v>
      </c>
      <c r="I94" s="93">
        <f t="shared" si="5"/>
        <v>6.8271665043817</v>
      </c>
      <c r="J94" s="95" t="s">
        <v>410</v>
      </c>
      <c r="K94" s="85" t="s">
        <v>409</v>
      </c>
    </row>
    <row r="95" spans="1:11" ht="12.75">
      <c r="A95" s="91">
        <v>2009.3</v>
      </c>
      <c r="B95" s="85" t="str">
        <f t="shared" si="4"/>
        <v>251</v>
      </c>
      <c r="C95" s="85">
        <v>251</v>
      </c>
      <c r="D95" s="85" t="s">
        <v>409</v>
      </c>
      <c r="E95" s="85" t="s">
        <v>409</v>
      </c>
      <c r="F95" s="92">
        <v>5.82871746915663</v>
      </c>
      <c r="G95" s="94">
        <v>60</v>
      </c>
      <c r="H95" s="94">
        <v>60</v>
      </c>
      <c r="I95" s="93">
        <f t="shared" si="5"/>
        <v>5.82871746915663</v>
      </c>
      <c r="J95" s="95" t="s">
        <v>410</v>
      </c>
      <c r="K95" s="85" t="s">
        <v>409</v>
      </c>
    </row>
    <row r="96" spans="1:11" ht="12.75">
      <c r="A96" s="91">
        <v>2009.3</v>
      </c>
      <c r="B96" s="85" t="str">
        <f t="shared" si="4"/>
        <v>929</v>
      </c>
      <c r="C96" s="85">
        <v>929</v>
      </c>
      <c r="D96" s="85" t="s">
        <v>409</v>
      </c>
      <c r="E96" s="85" t="s">
        <v>409</v>
      </c>
      <c r="F96" s="92">
        <v>5.06892230576441</v>
      </c>
      <c r="G96" s="94">
        <v>60</v>
      </c>
      <c r="H96" s="94">
        <v>60</v>
      </c>
      <c r="I96" s="93">
        <f t="shared" si="5"/>
        <v>5.068922305764411</v>
      </c>
      <c r="J96" s="95" t="s">
        <v>410</v>
      </c>
      <c r="K96" s="85" t="s">
        <v>409</v>
      </c>
    </row>
    <row r="97" spans="1:11" ht="12.75">
      <c r="A97" s="91">
        <v>2009.3</v>
      </c>
      <c r="B97" s="85" t="str">
        <f t="shared" si="4"/>
        <v>909DART</v>
      </c>
      <c r="C97" s="85">
        <v>909</v>
      </c>
      <c r="D97" s="85" t="s">
        <v>409</v>
      </c>
      <c r="E97" s="85" t="s">
        <v>418</v>
      </c>
      <c r="F97" s="92">
        <v>9.75623789470597</v>
      </c>
      <c r="G97" s="94">
        <v>60</v>
      </c>
      <c r="H97" s="94">
        <v>30</v>
      </c>
      <c r="I97" s="93">
        <f t="shared" si="5"/>
        <v>4.878118947352985</v>
      </c>
      <c r="J97" s="95" t="s">
        <v>410</v>
      </c>
      <c r="K97" s="85" t="s">
        <v>418</v>
      </c>
    </row>
    <row r="98" spans="1:11" ht="12.75">
      <c r="A98" s="91">
        <v>2009.3</v>
      </c>
      <c r="B98" s="85" t="str">
        <f t="shared" si="4"/>
        <v>935DART</v>
      </c>
      <c r="C98" s="85">
        <v>935</v>
      </c>
      <c r="D98" s="85" t="s">
        <v>409</v>
      </c>
      <c r="E98" s="85" t="s">
        <v>418</v>
      </c>
      <c r="F98" s="92">
        <v>4.04566343568991</v>
      </c>
      <c r="G98" s="94">
        <v>60</v>
      </c>
      <c r="H98" s="94">
        <v>60</v>
      </c>
      <c r="I98" s="93">
        <f t="shared" si="5"/>
        <v>4.04566343568991</v>
      </c>
      <c r="J98" s="95" t="s">
        <v>410</v>
      </c>
      <c r="K98" s="85" t="s">
        <v>418</v>
      </c>
    </row>
    <row r="99" spans="1:11" ht="12.75">
      <c r="A99" s="91">
        <v>2009.3</v>
      </c>
      <c r="B99" s="85" t="str">
        <f>C99&amp;IF(D99=" ",IF(E99=" ",,E99),D99)&amp;IF(D99=" ",,IF(E99=" ",,E99))</f>
        <v>908DART</v>
      </c>
      <c r="C99" s="85">
        <v>908</v>
      </c>
      <c r="D99" s="85" t="s">
        <v>409</v>
      </c>
      <c r="E99" s="85" t="s">
        <v>418</v>
      </c>
      <c r="F99" s="92">
        <v>7.82505001079485</v>
      </c>
      <c r="G99" s="94">
        <v>60</v>
      </c>
      <c r="H99" s="94">
        <v>30</v>
      </c>
      <c r="I99" s="93">
        <f aca="true" t="shared" si="6" ref="I99:I105">F99*H99/G99</f>
        <v>3.912525005397425</v>
      </c>
      <c r="J99" s="95" t="s">
        <v>410</v>
      </c>
      <c r="K99" s="85" t="s">
        <v>418</v>
      </c>
    </row>
    <row r="100" spans="1:11" ht="12.75">
      <c r="A100" s="91">
        <v>2009.3</v>
      </c>
      <c r="B100" s="85" t="str">
        <f>C100&amp;IF(D100=" ",IF(E100=" ",,E100),D100)&amp;IF(D100=" ",,IF(E100=" ",,E100))</f>
        <v>31</v>
      </c>
      <c r="C100" s="85">
        <v>31</v>
      </c>
      <c r="D100" s="85" t="s">
        <v>409</v>
      </c>
      <c r="E100" s="85" t="s">
        <v>409</v>
      </c>
      <c r="F100" s="92">
        <v>26.3345721480663</v>
      </c>
      <c r="G100" s="94">
        <v>15</v>
      </c>
      <c r="H100" s="94">
        <v>30</v>
      </c>
      <c r="I100" s="93">
        <f t="shared" si="6"/>
        <v>52.6691442961326</v>
      </c>
      <c r="J100" s="95" t="s">
        <v>410</v>
      </c>
      <c r="K100" s="85" t="s">
        <v>409</v>
      </c>
    </row>
    <row r="101" spans="1:11" ht="12.75">
      <c r="A101" s="91">
        <v>2009.3</v>
      </c>
      <c r="B101" s="85" t="str">
        <f>C101&amp;IF(D101=" ",IF(E101=" ",,E101),D101)&amp;IF(D101=" ",,IF(E101=" ",,E101))</f>
        <v>71</v>
      </c>
      <c r="C101" s="85">
        <v>71</v>
      </c>
      <c r="D101" s="85" t="s">
        <v>409</v>
      </c>
      <c r="E101" s="85" t="s">
        <v>409</v>
      </c>
      <c r="F101" s="92">
        <v>35.5860820879127</v>
      </c>
      <c r="G101" s="94">
        <v>30</v>
      </c>
      <c r="H101" s="94">
        <v>30</v>
      </c>
      <c r="I101" s="93">
        <f t="shared" si="6"/>
        <v>35.5860820879127</v>
      </c>
      <c r="J101" s="95" t="s">
        <v>410</v>
      </c>
      <c r="K101" s="85" t="s">
        <v>409</v>
      </c>
    </row>
    <row r="102" spans="1:11" ht="12.75">
      <c r="A102" s="91">
        <v>2009.3</v>
      </c>
      <c r="B102" s="85" t="str">
        <f>C102&amp;IF(D102=" ",IF(E102=" ",,E102),D102)&amp;IF(D102=" ",,IF(E102=" ",,E102))</f>
        <v>230E</v>
      </c>
      <c r="C102" s="85">
        <v>230</v>
      </c>
      <c r="D102" s="85" t="s">
        <v>68</v>
      </c>
      <c r="E102" s="85" t="s">
        <v>409</v>
      </c>
      <c r="F102" s="92">
        <v>29.4486328310649</v>
      </c>
      <c r="G102" s="94">
        <v>30</v>
      </c>
      <c r="H102" s="94">
        <v>30</v>
      </c>
      <c r="I102" s="93">
        <f t="shared" si="6"/>
        <v>29.4486328310649</v>
      </c>
      <c r="J102" s="95" t="s">
        <v>410</v>
      </c>
      <c r="K102" s="85" t="s">
        <v>409</v>
      </c>
    </row>
    <row r="103" spans="1:11" ht="12.75">
      <c r="A103" s="91">
        <v>2009.3</v>
      </c>
      <c r="B103" s="85" t="str">
        <f aca="true" t="shared" si="7" ref="B103:B124">C103&amp;IF(D103=" ",IF(E103=" ",,E103),D103)&amp;IF(D103=" ",,IF(E103=" ",,E103))</f>
        <v>269</v>
      </c>
      <c r="C103" s="85">
        <v>269</v>
      </c>
      <c r="D103" s="85" t="s">
        <v>409</v>
      </c>
      <c r="E103" s="85" t="s">
        <v>409</v>
      </c>
      <c r="F103" s="92">
        <v>7.93289171480397</v>
      </c>
      <c r="G103" s="94">
        <v>30</v>
      </c>
      <c r="H103" s="94">
        <v>30</v>
      </c>
      <c r="I103" s="93">
        <f t="shared" si="6"/>
        <v>7.93289171480397</v>
      </c>
      <c r="J103" s="95" t="s">
        <v>410</v>
      </c>
      <c r="K103" s="85" t="s">
        <v>409</v>
      </c>
    </row>
    <row r="104" spans="1:11" ht="12.75">
      <c r="A104" s="91">
        <v>2009.3</v>
      </c>
      <c r="B104" s="85" t="str">
        <f t="shared" si="7"/>
        <v>330</v>
      </c>
      <c r="C104" s="85">
        <v>330</v>
      </c>
      <c r="D104" s="85" t="s">
        <v>409</v>
      </c>
      <c r="E104" s="85" t="s">
        <v>409</v>
      </c>
      <c r="F104" s="92">
        <v>46.1138632027007</v>
      </c>
      <c r="G104" s="94">
        <v>60</v>
      </c>
      <c r="H104" s="94">
        <v>60</v>
      </c>
      <c r="I104" s="93">
        <f t="shared" si="6"/>
        <v>46.1138632027007</v>
      </c>
      <c r="J104" s="95" t="s">
        <v>414</v>
      </c>
      <c r="K104" s="85" t="s">
        <v>409</v>
      </c>
    </row>
    <row r="105" spans="1:11" ht="12.75">
      <c r="A105" s="91">
        <v>2009.3</v>
      </c>
      <c r="B105" s="85" t="str">
        <f t="shared" si="7"/>
        <v>917DART</v>
      </c>
      <c r="C105" s="85">
        <v>917</v>
      </c>
      <c r="D105" s="85" t="s">
        <v>409</v>
      </c>
      <c r="E105" s="85" t="s">
        <v>418</v>
      </c>
      <c r="F105" s="92">
        <v>12.7999955845844</v>
      </c>
      <c r="G105" s="94">
        <v>60</v>
      </c>
      <c r="H105" s="94">
        <v>30</v>
      </c>
      <c r="I105" s="93">
        <f t="shared" si="6"/>
        <v>6.3999977922922</v>
      </c>
      <c r="J105" s="95" t="s">
        <v>410</v>
      </c>
      <c r="K105" s="85" t="s">
        <v>418</v>
      </c>
    </row>
    <row r="106" ht="12.75">
      <c r="B106" s="85">
        <f t="shared" si="7"/>
      </c>
    </row>
    <row r="107" ht="12.75">
      <c r="B107" s="85">
        <f t="shared" si="7"/>
      </c>
    </row>
    <row r="108" ht="12.75">
      <c r="B108" s="85">
        <f t="shared" si="7"/>
      </c>
    </row>
    <row r="109" ht="12.75">
      <c r="B109" s="85">
        <f t="shared" si="7"/>
      </c>
    </row>
    <row r="110" ht="12.75">
      <c r="B110" s="85">
        <f t="shared" si="7"/>
      </c>
    </row>
    <row r="111" ht="12.75">
      <c r="B111" s="85">
        <f t="shared" si="7"/>
      </c>
    </row>
    <row r="112" ht="12.75">
      <c r="B112" s="85">
        <f t="shared" si="7"/>
      </c>
    </row>
    <row r="113" ht="12.75">
      <c r="B113" s="85">
        <f t="shared" si="7"/>
      </c>
    </row>
    <row r="114" ht="12.75">
      <c r="B114" s="85">
        <f t="shared" si="7"/>
      </c>
    </row>
    <row r="115" ht="12.75">
      <c r="B115" s="85">
        <f t="shared" si="7"/>
      </c>
    </row>
    <row r="116" ht="12.75">
      <c r="B116" s="85">
        <f t="shared" si="7"/>
      </c>
    </row>
    <row r="117" ht="12.75">
      <c r="B117" s="85">
        <f t="shared" si="7"/>
      </c>
    </row>
    <row r="118" ht="12.75">
      <c r="B118" s="85">
        <f t="shared" si="7"/>
      </c>
    </row>
    <row r="119" ht="12.75">
      <c r="B119" s="85">
        <f t="shared" si="7"/>
      </c>
    </row>
    <row r="120" ht="12.75">
      <c r="B120" s="85">
        <f t="shared" si="7"/>
      </c>
    </row>
    <row r="121" ht="12.75">
      <c r="B121" s="85">
        <f t="shared" si="7"/>
      </c>
    </row>
    <row r="122" ht="12.75">
      <c r="B122" s="85">
        <f t="shared" si="7"/>
      </c>
    </row>
    <row r="123" ht="12.75">
      <c r="B123" s="85">
        <f t="shared" si="7"/>
      </c>
    </row>
    <row r="124" ht="12.75">
      <c r="B124" s="85">
        <f t="shared" si="7"/>
      </c>
    </row>
    <row r="125" ht="12.75">
      <c r="B125" s="85">
        <f aca="true" t="shared" si="8" ref="B125:B156">C125&amp;IF(D125=" ",IF(E125=" ",,E125),D125)&amp;IF(D125=" ",,IF(E125=" ",,E125))</f>
      </c>
    </row>
    <row r="126" ht="12.75">
      <c r="B126" s="85">
        <f t="shared" si="8"/>
      </c>
    </row>
    <row r="127" ht="12.75">
      <c r="B127" s="85">
        <f t="shared" si="8"/>
      </c>
    </row>
    <row r="128" ht="12.75">
      <c r="B128" s="85">
        <f t="shared" si="8"/>
      </c>
    </row>
    <row r="129" ht="12.75">
      <c r="B129" s="85">
        <f t="shared" si="8"/>
      </c>
    </row>
    <row r="130" ht="12.75">
      <c r="B130" s="85">
        <f t="shared" si="8"/>
      </c>
    </row>
    <row r="131" ht="12.75">
      <c r="B131" s="85">
        <f t="shared" si="8"/>
      </c>
    </row>
    <row r="132" ht="12.75">
      <c r="B132" s="85">
        <f t="shared" si="8"/>
      </c>
    </row>
    <row r="133" ht="12.75">
      <c r="B133" s="85">
        <f t="shared" si="8"/>
      </c>
    </row>
    <row r="134" ht="12.75">
      <c r="B134" s="85">
        <f t="shared" si="8"/>
      </c>
    </row>
    <row r="135" ht="12.75">
      <c r="B135" s="85">
        <f t="shared" si="8"/>
      </c>
    </row>
    <row r="136" ht="12.75">
      <c r="B136" s="85">
        <f t="shared" si="8"/>
      </c>
    </row>
    <row r="137" ht="12.75">
      <c r="B137" s="85">
        <f t="shared" si="8"/>
      </c>
    </row>
    <row r="138" ht="12.75">
      <c r="B138" s="85">
        <f t="shared" si="8"/>
      </c>
    </row>
    <row r="139" ht="12.75">
      <c r="B139" s="85">
        <f t="shared" si="8"/>
      </c>
    </row>
    <row r="140" ht="12.75">
      <c r="B140" s="85">
        <f t="shared" si="8"/>
      </c>
    </row>
    <row r="141" ht="12.75">
      <c r="B141" s="85">
        <f t="shared" si="8"/>
      </c>
    </row>
    <row r="142" ht="12.75">
      <c r="B142" s="85">
        <f t="shared" si="8"/>
      </c>
    </row>
    <row r="143" ht="12.75">
      <c r="B143" s="85">
        <f t="shared" si="8"/>
      </c>
    </row>
    <row r="144" ht="12.75">
      <c r="B144" s="85">
        <f t="shared" si="8"/>
      </c>
    </row>
    <row r="145" ht="12.75">
      <c r="B145" s="85">
        <f t="shared" si="8"/>
      </c>
    </row>
    <row r="146" ht="12.75">
      <c r="B146" s="85">
        <f t="shared" si="8"/>
      </c>
    </row>
    <row r="147" ht="12.75">
      <c r="B147" s="85">
        <f t="shared" si="8"/>
      </c>
    </row>
    <row r="148" ht="12.75">
      <c r="B148" s="85">
        <f t="shared" si="8"/>
      </c>
    </row>
    <row r="149" ht="12.75">
      <c r="B149" s="85">
        <f t="shared" si="8"/>
      </c>
    </row>
    <row r="150" ht="12.75">
      <c r="B150" s="85">
        <f t="shared" si="8"/>
      </c>
    </row>
    <row r="151" ht="12.75">
      <c r="B151" s="85">
        <f t="shared" si="8"/>
      </c>
    </row>
    <row r="152" ht="12.75">
      <c r="B152" s="85">
        <f t="shared" si="8"/>
      </c>
    </row>
    <row r="153" ht="12.75">
      <c r="B153" s="85">
        <f t="shared" si="8"/>
      </c>
    </row>
    <row r="154" ht="12.75">
      <c r="B154" s="85">
        <f t="shared" si="8"/>
      </c>
    </row>
    <row r="155" ht="12.75">
      <c r="B155" s="85">
        <f t="shared" si="8"/>
      </c>
    </row>
    <row r="156" ht="12.75">
      <c r="B156" s="85">
        <f t="shared" si="8"/>
      </c>
    </row>
    <row r="157" ht="12.75">
      <c r="B157" s="85">
        <f aca="true" t="shared" si="9" ref="B157:B188">C157&amp;IF(D157=" ",IF(E157=" ",,E157),D157)&amp;IF(D157=" ",,IF(E157=" ",,E157))</f>
      </c>
    </row>
    <row r="158" ht="12.75">
      <c r="B158" s="85">
        <f t="shared" si="9"/>
      </c>
    </row>
    <row r="159" ht="12.75">
      <c r="B159" s="85">
        <f t="shared" si="9"/>
      </c>
    </row>
    <row r="160" ht="12.75">
      <c r="B160" s="85">
        <f t="shared" si="9"/>
      </c>
    </row>
    <row r="161" ht="12.75">
      <c r="B161" s="85">
        <f t="shared" si="9"/>
      </c>
    </row>
    <row r="162" ht="12.75">
      <c r="B162" s="85">
        <f t="shared" si="9"/>
      </c>
    </row>
    <row r="163" ht="12.75">
      <c r="B163" s="85">
        <f t="shared" si="9"/>
      </c>
    </row>
    <row r="164" ht="12.75">
      <c r="B164" s="85">
        <f t="shared" si="9"/>
      </c>
    </row>
    <row r="165" ht="12.75">
      <c r="B165" s="85">
        <f t="shared" si="9"/>
      </c>
    </row>
    <row r="166" ht="12.75">
      <c r="B166" s="85">
        <f t="shared" si="9"/>
      </c>
    </row>
    <row r="167" ht="12.75">
      <c r="B167" s="85">
        <f t="shared" si="9"/>
      </c>
    </row>
    <row r="168" ht="12.75">
      <c r="B168" s="85">
        <f t="shared" si="9"/>
      </c>
    </row>
    <row r="169" ht="12.75">
      <c r="B169" s="85">
        <f t="shared" si="9"/>
      </c>
    </row>
    <row r="170" ht="12.75">
      <c r="B170" s="85">
        <f t="shared" si="9"/>
      </c>
    </row>
    <row r="171" ht="12.75">
      <c r="B171" s="85">
        <f t="shared" si="9"/>
      </c>
    </row>
    <row r="172" ht="12.75">
      <c r="B172" s="85">
        <f t="shared" si="9"/>
      </c>
    </row>
    <row r="173" ht="12.75">
      <c r="B173" s="85">
        <f t="shared" si="9"/>
      </c>
    </row>
    <row r="174" ht="12.75">
      <c r="B174" s="85">
        <f t="shared" si="9"/>
      </c>
    </row>
    <row r="175" ht="12.75">
      <c r="B175" s="85">
        <f t="shared" si="9"/>
      </c>
    </row>
    <row r="176" ht="12.75">
      <c r="B176" s="85">
        <f t="shared" si="9"/>
      </c>
    </row>
    <row r="177" ht="12.75">
      <c r="B177" s="85">
        <f t="shared" si="9"/>
      </c>
    </row>
    <row r="178" ht="12.75">
      <c r="B178" s="85">
        <f t="shared" si="9"/>
      </c>
    </row>
    <row r="179" ht="12.75">
      <c r="B179" s="85">
        <f t="shared" si="9"/>
      </c>
    </row>
    <row r="180" ht="12.75">
      <c r="B180" s="85">
        <f t="shared" si="9"/>
      </c>
    </row>
    <row r="181" ht="12.75">
      <c r="B181" s="85">
        <f t="shared" si="9"/>
      </c>
    </row>
    <row r="182" ht="12.75">
      <c r="B182" s="85">
        <f t="shared" si="9"/>
      </c>
    </row>
    <row r="183" ht="12.75">
      <c r="B183" s="85">
        <f t="shared" si="9"/>
      </c>
    </row>
    <row r="184" ht="12.75">
      <c r="B184" s="85">
        <f t="shared" si="9"/>
      </c>
    </row>
    <row r="185" ht="12.75">
      <c r="B185" s="85">
        <f t="shared" si="9"/>
      </c>
    </row>
    <row r="186" ht="12.75">
      <c r="B186" s="85">
        <f t="shared" si="9"/>
      </c>
    </row>
    <row r="187" ht="12.75">
      <c r="B187" s="85">
        <f t="shared" si="9"/>
      </c>
    </row>
    <row r="188" ht="12.75">
      <c r="B188" s="85">
        <f t="shared" si="9"/>
      </c>
    </row>
    <row r="189" ht="12.75">
      <c r="B189" s="85">
        <f aca="true" t="shared" si="10" ref="B189:B220">C189&amp;IF(D189=" ",IF(E189=" ",,E189),D189)&amp;IF(D189=" ",,IF(E189=" ",,E189))</f>
      </c>
    </row>
    <row r="190" ht="12.75">
      <c r="B190" s="85">
        <f t="shared" si="10"/>
      </c>
    </row>
    <row r="191" ht="12.75">
      <c r="B191" s="85">
        <f t="shared" si="10"/>
      </c>
    </row>
    <row r="192" ht="12.75">
      <c r="B192" s="85">
        <f t="shared" si="10"/>
      </c>
    </row>
    <row r="193" ht="12.75">
      <c r="B193" s="85">
        <f t="shared" si="10"/>
      </c>
    </row>
    <row r="194" ht="12.75">
      <c r="B194" s="85">
        <f t="shared" si="10"/>
      </c>
    </row>
    <row r="195" ht="12.75">
      <c r="B195" s="85">
        <f t="shared" si="10"/>
      </c>
    </row>
    <row r="196" ht="12.75">
      <c r="B196" s="85">
        <f t="shared" si="10"/>
      </c>
    </row>
    <row r="197" ht="12.75">
      <c r="B197" s="85">
        <f t="shared" si="10"/>
      </c>
    </row>
    <row r="198" ht="12.75">
      <c r="B198" s="85">
        <f t="shared" si="10"/>
      </c>
    </row>
    <row r="199" ht="12.75">
      <c r="B199" s="85">
        <f t="shared" si="10"/>
      </c>
    </row>
    <row r="200" ht="12.75">
      <c r="B200" s="85">
        <f t="shared" si="10"/>
      </c>
    </row>
    <row r="201" ht="12.75">
      <c r="B201" s="85">
        <f t="shared" si="10"/>
      </c>
    </row>
    <row r="202" ht="12.75">
      <c r="B202" s="85">
        <f t="shared" si="10"/>
      </c>
    </row>
    <row r="203" ht="12.75">
      <c r="B203" s="85">
        <f t="shared" si="10"/>
      </c>
    </row>
    <row r="204" ht="12.75">
      <c r="B204" s="85">
        <f t="shared" si="10"/>
      </c>
    </row>
    <row r="205" ht="12.75">
      <c r="B205" s="85">
        <f t="shared" si="10"/>
      </c>
    </row>
    <row r="206" ht="12.75">
      <c r="B206" s="85">
        <f t="shared" si="10"/>
      </c>
    </row>
    <row r="207" ht="12.75">
      <c r="B207" s="85">
        <f t="shared" si="10"/>
      </c>
    </row>
    <row r="208" ht="12.75">
      <c r="B208" s="85">
        <f t="shared" si="10"/>
      </c>
    </row>
    <row r="209" ht="12.75">
      <c r="B209" s="85">
        <f t="shared" si="10"/>
      </c>
    </row>
    <row r="210" ht="12.75">
      <c r="B210" s="85">
        <f t="shared" si="10"/>
      </c>
    </row>
    <row r="211" ht="12.75">
      <c r="B211" s="85">
        <f t="shared" si="10"/>
      </c>
    </row>
    <row r="212" ht="12.75">
      <c r="B212" s="85">
        <f t="shared" si="10"/>
      </c>
    </row>
    <row r="213" ht="12.75">
      <c r="B213" s="85">
        <f t="shared" si="10"/>
      </c>
    </row>
    <row r="214" ht="12.75">
      <c r="B214" s="85">
        <f t="shared" si="10"/>
      </c>
    </row>
    <row r="215" ht="12.75">
      <c r="B215" s="85">
        <f t="shared" si="10"/>
      </c>
    </row>
    <row r="216" ht="12.75">
      <c r="B216" s="85">
        <f t="shared" si="10"/>
      </c>
    </row>
    <row r="217" ht="12.75">
      <c r="B217" s="85">
        <f t="shared" si="10"/>
      </c>
    </row>
    <row r="218" ht="12.75">
      <c r="B218" s="85">
        <f t="shared" si="10"/>
      </c>
    </row>
    <row r="219" ht="12.75">
      <c r="B219" s="85">
        <f t="shared" si="10"/>
      </c>
    </row>
    <row r="220" ht="12.75">
      <c r="B220" s="85">
        <f t="shared" si="10"/>
      </c>
    </row>
    <row r="221" ht="12.75">
      <c r="B221" s="85">
        <f aca="true" t="shared" si="11" ref="B221:B227">C221&amp;IF(D221=" ",IF(E221=" ",,E221),D221)&amp;IF(D221=" ",,IF(E221=" ",,E221))</f>
      </c>
    </row>
    <row r="222" ht="12.75">
      <c r="B222" s="85">
        <f t="shared" si="11"/>
      </c>
    </row>
    <row r="223" ht="12.75">
      <c r="B223" s="85">
        <f t="shared" si="11"/>
      </c>
    </row>
    <row r="224" ht="12.75">
      <c r="B224" s="85">
        <f t="shared" si="11"/>
      </c>
    </row>
    <row r="225" ht="12.75">
      <c r="B225" s="85">
        <f t="shared" si="11"/>
      </c>
    </row>
    <row r="226" ht="12.75">
      <c r="B226" s="85">
        <f t="shared" si="11"/>
      </c>
    </row>
    <row r="227" ht="12.75">
      <c r="B227" s="85">
        <f t="shared" si="11"/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&amp;C&amp;f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91" customWidth="1"/>
    <col min="2" max="2" width="21.7109375" style="85" customWidth="1"/>
    <col min="3" max="3" width="9.421875" style="85" bestFit="1" customWidth="1"/>
    <col min="4" max="4" width="7.57421875" style="85" bestFit="1" customWidth="1"/>
    <col min="5" max="5" width="12.421875" style="85" bestFit="1" customWidth="1"/>
    <col min="6" max="6" width="16.421875" style="92" bestFit="1" customWidth="1"/>
    <col min="7" max="7" width="19.57421875" style="94" bestFit="1" customWidth="1"/>
    <col min="8" max="8" width="18.8515625" style="94" bestFit="1" customWidth="1"/>
    <col min="9" max="9" width="18.7109375" style="92" bestFit="1" customWidth="1"/>
    <col min="10" max="10" width="13.140625" style="85" customWidth="1"/>
    <col min="11" max="16384" width="9.140625" style="85" customWidth="1"/>
  </cols>
  <sheetData>
    <row r="1" spans="1:11" ht="12.75">
      <c r="A1" s="86" t="s">
        <v>397</v>
      </c>
      <c r="B1" s="87" t="s">
        <v>398</v>
      </c>
      <c r="C1" s="87" t="s">
        <v>399</v>
      </c>
      <c r="D1" s="87" t="s">
        <v>400</v>
      </c>
      <c r="E1" s="87" t="s">
        <v>401</v>
      </c>
      <c r="F1" s="88" t="s">
        <v>403</v>
      </c>
      <c r="G1" s="90" t="s">
        <v>404</v>
      </c>
      <c r="H1" s="90" t="s">
        <v>405</v>
      </c>
      <c r="I1" s="89" t="s">
        <v>406</v>
      </c>
      <c r="J1" s="87" t="s">
        <v>407</v>
      </c>
      <c r="K1" s="213" t="s">
        <v>732</v>
      </c>
    </row>
    <row r="2" spans="1:11" ht="12.75">
      <c r="A2" s="91">
        <v>2009.3</v>
      </c>
      <c r="B2" s="85" t="str">
        <f aca="true" t="shared" si="0" ref="B2:B34">C2&amp;IF(D2=" ",IF(E2=" ",,E2),D2)&amp;IF(D2=" ",,IF(E2=" ",,E2))</f>
        <v>49</v>
      </c>
      <c r="C2" s="85">
        <v>49</v>
      </c>
      <c r="D2" s="85" t="s">
        <v>409</v>
      </c>
      <c r="E2" s="85" t="s">
        <v>409</v>
      </c>
      <c r="F2" s="92">
        <v>42.8278129875779</v>
      </c>
      <c r="G2" s="94">
        <v>15</v>
      </c>
      <c r="H2" s="94">
        <v>30</v>
      </c>
      <c r="I2" s="93">
        <f aca="true" t="shared" si="1" ref="I2:I34">F2*H2/G2</f>
        <v>85.6556259751558</v>
      </c>
      <c r="J2" s="95" t="s">
        <v>410</v>
      </c>
      <c r="K2" s="85" t="s">
        <v>409</v>
      </c>
    </row>
    <row r="3" spans="1:11" ht="12.75">
      <c r="A3" s="91">
        <v>2009.3</v>
      </c>
      <c r="B3" s="85" t="str">
        <f t="shared" si="0"/>
        <v>7</v>
      </c>
      <c r="C3" s="85">
        <v>7</v>
      </c>
      <c r="D3" s="85" t="s">
        <v>409</v>
      </c>
      <c r="E3" s="85" t="s">
        <v>409</v>
      </c>
      <c r="F3" s="92">
        <v>41.0164160177884</v>
      </c>
      <c r="G3" s="94">
        <v>15</v>
      </c>
      <c r="H3" s="94">
        <v>30</v>
      </c>
      <c r="I3" s="93">
        <f t="shared" si="1"/>
        <v>82.0328320355768</v>
      </c>
      <c r="J3" s="95" t="s">
        <v>410</v>
      </c>
      <c r="K3" s="85" t="s">
        <v>409</v>
      </c>
    </row>
    <row r="4" spans="1:11" ht="12.75">
      <c r="A4" s="91">
        <v>2009.3</v>
      </c>
      <c r="B4" s="85" t="str">
        <f t="shared" si="0"/>
        <v>15</v>
      </c>
      <c r="C4" s="85">
        <v>15</v>
      </c>
      <c r="D4" s="85" t="s">
        <v>409</v>
      </c>
      <c r="E4" s="85" t="s">
        <v>409</v>
      </c>
      <c r="F4" s="92">
        <v>38.3202279358174</v>
      </c>
      <c r="G4" s="94">
        <v>15</v>
      </c>
      <c r="H4" s="94">
        <v>15</v>
      </c>
      <c r="I4" s="93">
        <f t="shared" si="1"/>
        <v>38.32022793581739</v>
      </c>
      <c r="J4" s="95" t="s">
        <v>410</v>
      </c>
      <c r="K4" s="85" t="s">
        <v>409</v>
      </c>
    </row>
    <row r="5" spans="1:11" ht="12.75">
      <c r="A5" s="91">
        <v>2009.3</v>
      </c>
      <c r="B5" s="85" t="str">
        <f t="shared" si="0"/>
        <v>3N</v>
      </c>
      <c r="C5" s="85">
        <v>3</v>
      </c>
      <c r="D5" s="85" t="s">
        <v>408</v>
      </c>
      <c r="E5" s="85" t="s">
        <v>409</v>
      </c>
      <c r="F5" s="92">
        <v>36.2946409464706</v>
      </c>
      <c r="G5" s="94">
        <v>15</v>
      </c>
      <c r="H5" s="94">
        <v>30</v>
      </c>
      <c r="I5" s="93">
        <f t="shared" si="1"/>
        <v>72.5892818929412</v>
      </c>
      <c r="J5" s="95" t="s">
        <v>410</v>
      </c>
      <c r="K5" s="85" t="s">
        <v>409</v>
      </c>
    </row>
    <row r="6" spans="1:11" ht="12.75">
      <c r="A6" s="91">
        <v>2009.3</v>
      </c>
      <c r="B6" s="85" t="str">
        <f t="shared" si="0"/>
        <v>48S</v>
      </c>
      <c r="C6" s="85">
        <v>48</v>
      </c>
      <c r="D6" s="85" t="s">
        <v>411</v>
      </c>
      <c r="E6" s="85" t="s">
        <v>409</v>
      </c>
      <c r="F6" s="92">
        <v>30.1678924529079</v>
      </c>
      <c r="G6" s="94">
        <v>15</v>
      </c>
      <c r="H6" s="94">
        <v>30</v>
      </c>
      <c r="I6" s="93">
        <f t="shared" si="1"/>
        <v>60.3357849058158</v>
      </c>
      <c r="J6" s="95" t="s">
        <v>410</v>
      </c>
      <c r="K6" s="85" t="s">
        <v>409</v>
      </c>
    </row>
    <row r="7" spans="1:11" ht="12.75">
      <c r="A7" s="91">
        <v>2009.3</v>
      </c>
      <c r="B7" s="85" t="str">
        <f t="shared" si="0"/>
        <v>44</v>
      </c>
      <c r="C7" s="85">
        <v>44</v>
      </c>
      <c r="D7" s="85" t="s">
        <v>409</v>
      </c>
      <c r="E7" s="85" t="s">
        <v>409</v>
      </c>
      <c r="F7" s="92">
        <v>29.7663971296893</v>
      </c>
      <c r="G7" s="94">
        <v>15</v>
      </c>
      <c r="H7" s="94">
        <v>30</v>
      </c>
      <c r="I7" s="93">
        <f t="shared" si="1"/>
        <v>59.5327942593786</v>
      </c>
      <c r="J7" s="95" t="s">
        <v>410</v>
      </c>
      <c r="K7" s="85" t="s">
        <v>409</v>
      </c>
    </row>
    <row r="8" spans="1:11" ht="12.75">
      <c r="A8" s="91">
        <v>2009.3</v>
      </c>
      <c r="B8" s="85" t="str">
        <f t="shared" si="0"/>
        <v>48N</v>
      </c>
      <c r="C8" s="85">
        <v>48</v>
      </c>
      <c r="D8" s="85" t="s">
        <v>408</v>
      </c>
      <c r="E8" s="85" t="s">
        <v>409</v>
      </c>
      <c r="F8" s="92">
        <v>26.1943103517369</v>
      </c>
      <c r="G8" s="94">
        <v>15</v>
      </c>
      <c r="H8" s="94">
        <v>30</v>
      </c>
      <c r="I8" s="93">
        <f t="shared" si="1"/>
        <v>52.3886207034738</v>
      </c>
      <c r="J8" s="95" t="s">
        <v>410</v>
      </c>
      <c r="K8" s="85" t="s">
        <v>409</v>
      </c>
    </row>
    <row r="9" spans="1:11" ht="12.75">
      <c r="A9" s="91">
        <v>2009.3</v>
      </c>
      <c r="B9" s="85" t="str">
        <f t="shared" si="0"/>
        <v>13</v>
      </c>
      <c r="C9" s="85">
        <v>13</v>
      </c>
      <c r="D9" s="85" t="s">
        <v>409</v>
      </c>
      <c r="E9" s="85" t="s">
        <v>409</v>
      </c>
      <c r="F9" s="92">
        <v>25.1983690857413</v>
      </c>
      <c r="G9" s="94">
        <v>15</v>
      </c>
      <c r="H9" s="94">
        <v>30</v>
      </c>
      <c r="I9" s="93">
        <f t="shared" si="1"/>
        <v>50.3967381714826</v>
      </c>
      <c r="J9" s="95" t="s">
        <v>410</v>
      </c>
      <c r="K9" s="85" t="s">
        <v>409</v>
      </c>
    </row>
    <row r="10" spans="1:11" ht="12.75">
      <c r="A10" s="91">
        <v>2009.3</v>
      </c>
      <c r="B10" s="85" t="str">
        <f t="shared" si="0"/>
        <v>26</v>
      </c>
      <c r="C10" s="85">
        <v>26</v>
      </c>
      <c r="D10" s="85" t="s">
        <v>409</v>
      </c>
      <c r="E10" s="85" t="s">
        <v>409</v>
      </c>
      <c r="F10" s="92">
        <v>24.4844022934299</v>
      </c>
      <c r="G10" s="94">
        <v>15</v>
      </c>
      <c r="H10" s="94">
        <v>30</v>
      </c>
      <c r="I10" s="93">
        <f t="shared" si="1"/>
        <v>48.9688045868598</v>
      </c>
      <c r="J10" s="95" t="s">
        <v>410</v>
      </c>
      <c r="K10" s="85" t="s">
        <v>409</v>
      </c>
    </row>
    <row r="11" spans="1:11" ht="12.75">
      <c r="A11" s="91">
        <v>2009.3</v>
      </c>
      <c r="B11" s="85" t="str">
        <f t="shared" si="0"/>
        <v>4S</v>
      </c>
      <c r="C11" s="85">
        <v>4</v>
      </c>
      <c r="D11" s="85" t="s">
        <v>411</v>
      </c>
      <c r="E11" s="85" t="s">
        <v>409</v>
      </c>
      <c r="F11" s="92">
        <v>24.0026614266417</v>
      </c>
      <c r="G11" s="94">
        <v>15</v>
      </c>
      <c r="H11" s="94">
        <v>30</v>
      </c>
      <c r="I11" s="93">
        <f t="shared" si="1"/>
        <v>48.0053228532834</v>
      </c>
      <c r="J11" s="95" t="s">
        <v>410</v>
      </c>
      <c r="K11" s="85" t="s">
        <v>409</v>
      </c>
    </row>
    <row r="12" spans="1:11" ht="12.75">
      <c r="A12" s="91">
        <v>2009.3</v>
      </c>
      <c r="B12" s="85" t="str">
        <f t="shared" si="0"/>
        <v>36</v>
      </c>
      <c r="C12" s="85">
        <v>36</v>
      </c>
      <c r="D12" s="85" t="s">
        <v>409</v>
      </c>
      <c r="E12" s="85" t="s">
        <v>409</v>
      </c>
      <c r="F12" s="92">
        <v>19.7806088173652</v>
      </c>
      <c r="G12" s="94">
        <v>15</v>
      </c>
      <c r="H12" s="94">
        <v>30</v>
      </c>
      <c r="I12" s="93">
        <f t="shared" si="1"/>
        <v>39.5612176347304</v>
      </c>
      <c r="J12" s="95" t="s">
        <v>410</v>
      </c>
      <c r="K12" s="85" t="s">
        <v>409</v>
      </c>
    </row>
    <row r="13" spans="1:11" s="96" customFormat="1" ht="12.75">
      <c r="A13" s="97">
        <v>2009.3</v>
      </c>
      <c r="B13" s="96" t="str">
        <f t="shared" si="0"/>
        <v>10</v>
      </c>
      <c r="C13" s="96">
        <v>10</v>
      </c>
      <c r="D13" s="96" t="s">
        <v>409</v>
      </c>
      <c r="E13" s="96" t="s">
        <v>409</v>
      </c>
      <c r="F13" s="98">
        <v>38.2817738860669</v>
      </c>
      <c r="G13" s="100">
        <v>30</v>
      </c>
      <c r="H13" s="100">
        <v>30</v>
      </c>
      <c r="I13" s="99">
        <f t="shared" si="1"/>
        <v>38.281773886066894</v>
      </c>
      <c r="J13" s="101" t="s">
        <v>410</v>
      </c>
      <c r="K13" s="96" t="s">
        <v>409</v>
      </c>
    </row>
    <row r="14" spans="1:11" ht="12.75">
      <c r="A14" s="91">
        <v>2009.3</v>
      </c>
      <c r="B14" s="85" t="str">
        <f t="shared" si="0"/>
        <v>11</v>
      </c>
      <c r="C14" s="85">
        <v>11</v>
      </c>
      <c r="D14" s="85" t="s">
        <v>409</v>
      </c>
      <c r="E14" s="85" t="s">
        <v>409</v>
      </c>
      <c r="F14" s="92">
        <v>36.0144825126607</v>
      </c>
      <c r="G14" s="94">
        <v>30</v>
      </c>
      <c r="H14" s="94">
        <v>30</v>
      </c>
      <c r="I14" s="93">
        <f t="shared" si="1"/>
        <v>36.0144825126607</v>
      </c>
      <c r="J14" s="95" t="s">
        <v>410</v>
      </c>
      <c r="K14" s="85" t="s">
        <v>409</v>
      </c>
    </row>
    <row r="15" spans="1:11" ht="12.75">
      <c r="A15" s="91">
        <v>2009.3</v>
      </c>
      <c r="B15" s="85" t="str">
        <f t="shared" si="0"/>
        <v>358EX</v>
      </c>
      <c r="C15" s="85">
        <v>358</v>
      </c>
      <c r="D15" s="85" t="s">
        <v>409</v>
      </c>
      <c r="E15" s="85" t="s">
        <v>413</v>
      </c>
      <c r="F15" s="92">
        <v>33.6855217000753</v>
      </c>
      <c r="G15" s="94">
        <v>30</v>
      </c>
      <c r="H15" s="94">
        <v>30</v>
      </c>
      <c r="I15" s="93">
        <f t="shared" si="1"/>
        <v>33.6855217000753</v>
      </c>
      <c r="J15" s="95" t="s">
        <v>414</v>
      </c>
      <c r="K15" s="85" t="s">
        <v>409</v>
      </c>
    </row>
    <row r="16" spans="1:11" ht="12.75">
      <c r="A16" s="91">
        <v>2009.3</v>
      </c>
      <c r="B16" s="85" t="str">
        <f t="shared" si="0"/>
        <v>67</v>
      </c>
      <c r="C16" s="85">
        <v>67</v>
      </c>
      <c r="D16" s="85" t="s">
        <v>409</v>
      </c>
      <c r="E16" s="85" t="s">
        <v>409</v>
      </c>
      <c r="F16" s="92">
        <v>33.305143269429</v>
      </c>
      <c r="G16" s="94">
        <v>30</v>
      </c>
      <c r="H16" s="94">
        <v>30</v>
      </c>
      <c r="I16" s="93">
        <f t="shared" si="1"/>
        <v>33.305143269429</v>
      </c>
      <c r="J16" s="95" t="s">
        <v>410</v>
      </c>
      <c r="K16" s="85" t="s">
        <v>409</v>
      </c>
    </row>
    <row r="17" spans="1:11" ht="12.75">
      <c r="A17" s="91">
        <v>2009.3</v>
      </c>
      <c r="B17" s="85" t="str">
        <f t="shared" si="0"/>
        <v>253TB</v>
      </c>
      <c r="C17" s="85">
        <v>253</v>
      </c>
      <c r="D17" s="85" t="s">
        <v>409</v>
      </c>
      <c r="E17" s="85" t="s">
        <v>412</v>
      </c>
      <c r="F17" s="92">
        <v>32.5065564921154</v>
      </c>
      <c r="G17" s="94">
        <v>30</v>
      </c>
      <c r="H17" s="94">
        <v>30</v>
      </c>
      <c r="I17" s="93">
        <f t="shared" si="1"/>
        <v>32.5065564921154</v>
      </c>
      <c r="J17" s="95" t="s">
        <v>410</v>
      </c>
      <c r="K17" s="85" t="s">
        <v>409</v>
      </c>
    </row>
    <row r="18" spans="1:11" ht="12.75">
      <c r="A18" s="91">
        <v>2009.3</v>
      </c>
      <c r="B18" s="85" t="str">
        <f t="shared" si="0"/>
        <v>174SH</v>
      </c>
      <c r="C18" s="85">
        <v>174</v>
      </c>
      <c r="D18" s="85" t="s">
        <v>409</v>
      </c>
      <c r="E18" s="85" t="s">
        <v>416</v>
      </c>
      <c r="F18" s="92">
        <v>30.9535311196582</v>
      </c>
      <c r="G18" s="94">
        <v>30</v>
      </c>
      <c r="H18" s="94">
        <v>30</v>
      </c>
      <c r="I18" s="93">
        <f t="shared" si="1"/>
        <v>30.9535311196582</v>
      </c>
      <c r="J18" s="95" t="s">
        <v>410</v>
      </c>
      <c r="K18" s="85" t="s">
        <v>409</v>
      </c>
    </row>
    <row r="19" spans="1:11" ht="12.75">
      <c r="A19" s="91">
        <v>2009.3</v>
      </c>
      <c r="B19" s="85" t="str">
        <f t="shared" si="0"/>
        <v>120</v>
      </c>
      <c r="C19" s="85">
        <v>120</v>
      </c>
      <c r="D19" s="85" t="s">
        <v>409</v>
      </c>
      <c r="E19" s="85" t="s">
        <v>409</v>
      </c>
      <c r="F19" s="92">
        <v>30.3929993883192</v>
      </c>
      <c r="G19" s="94">
        <v>30</v>
      </c>
      <c r="H19" s="94">
        <v>30</v>
      </c>
      <c r="I19" s="93">
        <f t="shared" si="1"/>
        <v>30.3929993883192</v>
      </c>
      <c r="J19" s="95" t="s">
        <v>414</v>
      </c>
      <c r="K19" s="85" t="s">
        <v>409</v>
      </c>
    </row>
    <row r="20" spans="1:11" ht="12.75">
      <c r="A20" s="91">
        <v>2009.3</v>
      </c>
      <c r="B20" s="85" t="str">
        <f t="shared" si="0"/>
        <v>72</v>
      </c>
      <c r="C20" s="85">
        <v>72</v>
      </c>
      <c r="D20" s="85" t="s">
        <v>409</v>
      </c>
      <c r="E20" s="85" t="s">
        <v>409</v>
      </c>
      <c r="F20" s="92">
        <v>29.9963966946844</v>
      </c>
      <c r="G20" s="94">
        <v>60</v>
      </c>
      <c r="H20" s="94">
        <v>60</v>
      </c>
      <c r="I20" s="93">
        <f t="shared" si="1"/>
        <v>29.9963966946844</v>
      </c>
      <c r="J20" s="95" t="s">
        <v>410</v>
      </c>
      <c r="K20" s="85" t="s">
        <v>409</v>
      </c>
    </row>
    <row r="21" spans="1:11" ht="12.75">
      <c r="A21" s="91">
        <v>2009.3</v>
      </c>
      <c r="B21" s="85" t="str">
        <f t="shared" si="0"/>
        <v>169</v>
      </c>
      <c r="C21" s="85">
        <v>169</v>
      </c>
      <c r="D21" s="85" t="s">
        <v>409</v>
      </c>
      <c r="E21" s="85" t="s">
        <v>409</v>
      </c>
      <c r="F21" s="92">
        <v>28.5184888885468</v>
      </c>
      <c r="G21" s="94">
        <v>30</v>
      </c>
      <c r="H21" s="94">
        <v>30</v>
      </c>
      <c r="I21" s="93">
        <f t="shared" si="1"/>
        <v>28.5184888885468</v>
      </c>
      <c r="J21" s="95" t="s">
        <v>410</v>
      </c>
      <c r="K21" s="85" t="s">
        <v>409</v>
      </c>
    </row>
    <row r="22" spans="1:11" ht="12.75">
      <c r="A22" s="91">
        <v>2009.3</v>
      </c>
      <c r="B22" s="85" t="str">
        <f t="shared" si="0"/>
        <v>70</v>
      </c>
      <c r="C22" s="85">
        <v>70</v>
      </c>
      <c r="D22" s="85" t="s">
        <v>409</v>
      </c>
      <c r="E22" s="85" t="s">
        <v>409</v>
      </c>
      <c r="F22" s="92">
        <v>14.1687489294818</v>
      </c>
      <c r="G22" s="94">
        <v>15</v>
      </c>
      <c r="H22" s="94">
        <v>30</v>
      </c>
      <c r="I22" s="93">
        <f t="shared" si="1"/>
        <v>28.3374978589636</v>
      </c>
      <c r="J22" s="95" t="s">
        <v>410</v>
      </c>
      <c r="K22" s="85" t="s">
        <v>409</v>
      </c>
    </row>
    <row r="23" spans="1:11" ht="12.75">
      <c r="A23" s="91">
        <v>2009.3</v>
      </c>
      <c r="B23" s="85" t="str">
        <f>C23&amp;IF(D23=" ",IF(E23=" ",,E23),D23)&amp;IF(D23=" ",,IF(E23=" ",,E23))</f>
        <v>5l</v>
      </c>
      <c r="C23" s="85">
        <v>5</v>
      </c>
      <c r="D23" s="85" t="s">
        <v>409</v>
      </c>
      <c r="E23" s="213" t="s">
        <v>611</v>
      </c>
      <c r="F23" s="92">
        <v>26.6792797512418</v>
      </c>
      <c r="I23" s="93">
        <f>F23*0.5</f>
        <v>13.3396398756209</v>
      </c>
      <c r="J23" s="214" t="s">
        <v>414</v>
      </c>
      <c r="K23" s="213" t="s">
        <v>608</v>
      </c>
    </row>
    <row r="24" spans="1:11" ht="12.75">
      <c r="A24" s="91">
        <v>2009.3</v>
      </c>
      <c r="B24" s="85" t="str">
        <f t="shared" si="0"/>
        <v>5</v>
      </c>
      <c r="C24" s="85">
        <v>5</v>
      </c>
      <c r="D24" s="85" t="s">
        <v>409</v>
      </c>
      <c r="E24" s="85" t="s">
        <v>409</v>
      </c>
      <c r="F24" s="92">
        <v>26.6792797512418</v>
      </c>
      <c r="G24" s="94">
        <v>30</v>
      </c>
      <c r="H24" s="94">
        <v>30</v>
      </c>
      <c r="I24" s="93">
        <f t="shared" si="1"/>
        <v>26.6792797512418</v>
      </c>
      <c r="J24" s="95" t="s">
        <v>414</v>
      </c>
      <c r="K24" s="85" t="s">
        <v>409</v>
      </c>
    </row>
    <row r="25" spans="1:11" ht="12.75">
      <c r="A25" s="91">
        <v>2009.3</v>
      </c>
      <c r="B25" s="85" t="str">
        <f t="shared" si="0"/>
        <v>2S</v>
      </c>
      <c r="C25" s="85">
        <v>2</v>
      </c>
      <c r="D25" s="85" t="s">
        <v>411</v>
      </c>
      <c r="E25" s="85" t="s">
        <v>409</v>
      </c>
      <c r="F25" s="92">
        <v>26.2232959038989</v>
      </c>
      <c r="G25" s="94">
        <v>30</v>
      </c>
      <c r="H25" s="94">
        <v>30</v>
      </c>
      <c r="I25" s="93">
        <f t="shared" si="1"/>
        <v>26.223295903898897</v>
      </c>
      <c r="J25" s="95" t="s">
        <v>410</v>
      </c>
      <c r="K25" s="85" t="s">
        <v>409</v>
      </c>
    </row>
    <row r="26" spans="1:11" ht="12.75">
      <c r="A26" s="91">
        <v>2009.3</v>
      </c>
      <c r="B26" s="85" t="str">
        <f t="shared" si="0"/>
        <v>30TB</v>
      </c>
      <c r="C26" s="85">
        <v>30</v>
      </c>
      <c r="D26" s="85" t="s">
        <v>409</v>
      </c>
      <c r="E26" s="85" t="s">
        <v>412</v>
      </c>
      <c r="F26" s="92">
        <v>24.9880929440063</v>
      </c>
      <c r="G26" s="94">
        <v>30</v>
      </c>
      <c r="H26" s="94">
        <v>30</v>
      </c>
      <c r="I26" s="93">
        <f t="shared" si="1"/>
        <v>24.9880929440063</v>
      </c>
      <c r="J26" s="95" t="s">
        <v>410</v>
      </c>
      <c r="K26" s="85" t="s">
        <v>409</v>
      </c>
    </row>
    <row r="27" spans="1:11" ht="12.75">
      <c r="A27" s="91">
        <v>2009.3</v>
      </c>
      <c r="B27" s="85" t="str">
        <f t="shared" si="0"/>
        <v>140</v>
      </c>
      <c r="C27" s="85">
        <v>140</v>
      </c>
      <c r="D27" s="85" t="s">
        <v>409</v>
      </c>
      <c r="E27" s="85" t="s">
        <v>409</v>
      </c>
      <c r="F27" s="92">
        <v>24.5057110438501</v>
      </c>
      <c r="G27" s="94">
        <v>30</v>
      </c>
      <c r="H27" s="94">
        <v>30</v>
      </c>
      <c r="I27" s="93">
        <f t="shared" si="1"/>
        <v>24.5057110438501</v>
      </c>
      <c r="J27" s="95" t="s">
        <v>410</v>
      </c>
      <c r="K27" s="85" t="s">
        <v>409</v>
      </c>
    </row>
    <row r="28" spans="1:11" ht="12.75">
      <c r="A28" s="91">
        <v>2009.3</v>
      </c>
      <c r="B28" s="85" t="str">
        <f t="shared" si="0"/>
        <v>14S</v>
      </c>
      <c r="C28" s="85">
        <v>14</v>
      </c>
      <c r="D28" s="85" t="s">
        <v>411</v>
      </c>
      <c r="E28" s="85" t="s">
        <v>409</v>
      </c>
      <c r="F28" s="92">
        <v>23.9925976654777</v>
      </c>
      <c r="G28" s="94">
        <v>30</v>
      </c>
      <c r="H28" s="94">
        <v>30</v>
      </c>
      <c r="I28" s="93">
        <f t="shared" si="1"/>
        <v>23.9925976654777</v>
      </c>
      <c r="J28" s="95" t="s">
        <v>410</v>
      </c>
      <c r="K28" s="85" t="s">
        <v>409</v>
      </c>
    </row>
    <row r="29" spans="1:11" ht="12.75">
      <c r="A29" s="91">
        <v>2009.3</v>
      </c>
      <c r="B29" s="85" t="str">
        <f t="shared" si="0"/>
        <v>75</v>
      </c>
      <c r="C29" s="85">
        <v>75</v>
      </c>
      <c r="D29" s="85" t="s">
        <v>409</v>
      </c>
      <c r="E29" s="85" t="s">
        <v>409</v>
      </c>
      <c r="F29" s="92">
        <v>23.307472954148</v>
      </c>
      <c r="G29" s="94">
        <v>30</v>
      </c>
      <c r="H29" s="94">
        <v>30</v>
      </c>
      <c r="I29" s="93">
        <f t="shared" si="1"/>
        <v>23.307472954148</v>
      </c>
      <c r="J29" s="95" t="s">
        <v>410</v>
      </c>
      <c r="K29" s="85" t="s">
        <v>409</v>
      </c>
    </row>
    <row r="30" spans="1:11" ht="12.75">
      <c r="A30" s="91">
        <v>2009.3</v>
      </c>
      <c r="B30" s="85" t="str">
        <f t="shared" si="0"/>
        <v>164</v>
      </c>
      <c r="C30" s="85">
        <v>164</v>
      </c>
      <c r="D30" s="85" t="s">
        <v>409</v>
      </c>
      <c r="E30" s="85" t="s">
        <v>409</v>
      </c>
      <c r="F30" s="92">
        <v>22.8186291143536</v>
      </c>
      <c r="G30" s="94">
        <v>60</v>
      </c>
      <c r="H30" s="94">
        <v>60</v>
      </c>
      <c r="I30" s="93">
        <f t="shared" si="1"/>
        <v>22.8186291143536</v>
      </c>
      <c r="J30" s="95" t="s">
        <v>410</v>
      </c>
      <c r="K30" s="85" t="s">
        <v>409</v>
      </c>
    </row>
    <row r="31" spans="1:11" ht="12.75">
      <c r="A31" s="91">
        <v>2009.3</v>
      </c>
      <c r="B31" s="85" t="str">
        <f t="shared" si="0"/>
        <v>65</v>
      </c>
      <c r="C31" s="85">
        <v>65</v>
      </c>
      <c r="D31" s="85" t="s">
        <v>409</v>
      </c>
      <c r="E31" s="85" t="s">
        <v>409</v>
      </c>
      <c r="F31" s="92">
        <v>22.3699805672935</v>
      </c>
      <c r="G31" s="94">
        <v>30</v>
      </c>
      <c r="H31" s="94">
        <v>30</v>
      </c>
      <c r="I31" s="93">
        <f t="shared" si="1"/>
        <v>22.3699805672935</v>
      </c>
      <c r="J31" s="95" t="s">
        <v>410</v>
      </c>
      <c r="K31" s="85" t="s">
        <v>409</v>
      </c>
    </row>
    <row r="32" spans="1:11" ht="12.75">
      <c r="A32" s="91">
        <v>2009.3</v>
      </c>
      <c r="B32" s="85" t="str">
        <f t="shared" si="0"/>
        <v>41</v>
      </c>
      <c r="C32" s="85">
        <v>41</v>
      </c>
      <c r="D32" s="85" t="s">
        <v>409</v>
      </c>
      <c r="E32" s="85" t="s">
        <v>409</v>
      </c>
      <c r="F32" s="92">
        <v>22.2196039810439</v>
      </c>
      <c r="G32" s="94">
        <v>30</v>
      </c>
      <c r="H32" s="94">
        <v>30</v>
      </c>
      <c r="I32" s="93">
        <f t="shared" si="1"/>
        <v>22.2196039810439</v>
      </c>
      <c r="J32" s="95" t="s">
        <v>410</v>
      </c>
      <c r="K32" s="85" t="s">
        <v>409</v>
      </c>
    </row>
    <row r="33" spans="1:11" ht="12.75">
      <c r="A33" s="91">
        <v>2009.3</v>
      </c>
      <c r="B33" s="85" t="str">
        <f t="shared" si="0"/>
        <v>150TB</v>
      </c>
      <c r="C33" s="85">
        <v>150</v>
      </c>
      <c r="D33" s="85" t="s">
        <v>409</v>
      </c>
      <c r="E33" s="85" t="s">
        <v>412</v>
      </c>
      <c r="F33" s="92">
        <v>21.3652369239509</v>
      </c>
      <c r="G33" s="94">
        <v>30</v>
      </c>
      <c r="H33" s="94">
        <v>30</v>
      </c>
      <c r="I33" s="93">
        <f t="shared" si="1"/>
        <v>21.3652369239509</v>
      </c>
      <c r="J33" s="95" t="s">
        <v>414</v>
      </c>
      <c r="K33" s="85" t="s">
        <v>409</v>
      </c>
    </row>
    <row r="34" spans="1:11" ht="12.75">
      <c r="A34" s="91">
        <v>2009.3</v>
      </c>
      <c r="B34" s="85" t="str">
        <f t="shared" si="0"/>
        <v>124</v>
      </c>
      <c r="C34" s="85">
        <v>124</v>
      </c>
      <c r="D34" s="85" t="s">
        <v>409</v>
      </c>
      <c r="E34" s="85" t="s">
        <v>409</v>
      </c>
      <c r="F34" s="92">
        <v>20.8342499899944</v>
      </c>
      <c r="G34" s="94">
        <v>30</v>
      </c>
      <c r="H34" s="94">
        <v>30</v>
      </c>
      <c r="I34" s="93">
        <f t="shared" si="1"/>
        <v>20.8342499899944</v>
      </c>
      <c r="J34" s="95" t="s">
        <v>414</v>
      </c>
      <c r="K34" s="85" t="s">
        <v>409</v>
      </c>
    </row>
    <row r="35" spans="1:11" ht="12.75">
      <c r="A35" s="91">
        <v>2009.3</v>
      </c>
      <c r="B35" s="85" t="str">
        <f aca="true" t="shared" si="2" ref="B35:B67">C35&amp;IF(D35=" ",IF(E35=" ",,E35),D35)&amp;IF(D35=" ",,IF(E35=" ",,E35))</f>
        <v>101</v>
      </c>
      <c r="C35" s="85">
        <v>101</v>
      </c>
      <c r="D35" s="85" t="s">
        <v>409</v>
      </c>
      <c r="E35" s="85" t="s">
        <v>409</v>
      </c>
      <c r="F35" s="92">
        <v>20.7770003962818</v>
      </c>
      <c r="G35" s="94">
        <v>30</v>
      </c>
      <c r="H35" s="94">
        <v>30</v>
      </c>
      <c r="I35" s="93">
        <f aca="true" t="shared" si="3" ref="I35:I67">F35*H35/G35</f>
        <v>20.7770003962818</v>
      </c>
      <c r="J35" s="95" t="s">
        <v>414</v>
      </c>
      <c r="K35" s="85" t="s">
        <v>409</v>
      </c>
    </row>
    <row r="36" spans="1:11" ht="12.75">
      <c r="A36" s="91">
        <v>2009.3</v>
      </c>
      <c r="B36" s="85" t="str">
        <f t="shared" si="2"/>
        <v>54</v>
      </c>
      <c r="C36" s="85">
        <v>54</v>
      </c>
      <c r="D36" s="85" t="s">
        <v>409</v>
      </c>
      <c r="E36" s="85" t="s">
        <v>409</v>
      </c>
      <c r="F36" s="92">
        <v>20.6558009260062</v>
      </c>
      <c r="G36" s="94">
        <v>30</v>
      </c>
      <c r="H36" s="94">
        <v>30</v>
      </c>
      <c r="I36" s="93">
        <f t="shared" si="3"/>
        <v>20.6558009260062</v>
      </c>
      <c r="J36" s="95" t="s">
        <v>410</v>
      </c>
      <c r="K36" s="85" t="s">
        <v>409</v>
      </c>
    </row>
    <row r="37" spans="1:11" ht="12.75">
      <c r="A37" s="91">
        <v>2009.3</v>
      </c>
      <c r="B37" s="85" t="str">
        <f t="shared" si="2"/>
        <v>166</v>
      </c>
      <c r="C37" s="85">
        <v>166</v>
      </c>
      <c r="D37" s="85" t="s">
        <v>409</v>
      </c>
      <c r="E37" s="85" t="s">
        <v>409</v>
      </c>
      <c r="F37" s="92">
        <v>20.2952380127869</v>
      </c>
      <c r="G37" s="94">
        <v>60</v>
      </c>
      <c r="H37" s="94">
        <v>60</v>
      </c>
      <c r="I37" s="93">
        <f t="shared" si="3"/>
        <v>20.2952380127869</v>
      </c>
      <c r="J37" s="95" t="s">
        <v>410</v>
      </c>
      <c r="K37" s="85" t="s">
        <v>409</v>
      </c>
    </row>
    <row r="38" spans="1:11" ht="12.75">
      <c r="A38" s="91">
        <v>2009.3</v>
      </c>
      <c r="B38" s="85" t="str">
        <f t="shared" si="2"/>
        <v>8</v>
      </c>
      <c r="C38" s="85">
        <v>8</v>
      </c>
      <c r="D38" s="85" t="s">
        <v>409</v>
      </c>
      <c r="E38" s="85" t="s">
        <v>409</v>
      </c>
      <c r="F38" s="92">
        <v>20.0187911420968</v>
      </c>
      <c r="G38" s="94">
        <v>30</v>
      </c>
      <c r="H38" s="94">
        <v>30</v>
      </c>
      <c r="I38" s="93">
        <f t="shared" si="3"/>
        <v>20.0187911420968</v>
      </c>
      <c r="J38" s="95" t="s">
        <v>410</v>
      </c>
      <c r="K38" s="85" t="s">
        <v>409</v>
      </c>
    </row>
    <row r="39" spans="1:11" ht="12.75">
      <c r="A39" s="91">
        <v>2009.3</v>
      </c>
      <c r="B39" s="85" t="str">
        <f t="shared" si="2"/>
        <v>106</v>
      </c>
      <c r="C39" s="85">
        <v>106</v>
      </c>
      <c r="D39" s="85" t="s">
        <v>409</v>
      </c>
      <c r="E39" s="85" t="s">
        <v>409</v>
      </c>
      <c r="F39" s="92">
        <v>19.3374025216908</v>
      </c>
      <c r="G39" s="94">
        <v>30</v>
      </c>
      <c r="H39" s="94">
        <v>30</v>
      </c>
      <c r="I39" s="93">
        <f t="shared" si="3"/>
        <v>19.3374025216908</v>
      </c>
      <c r="J39" s="95" t="s">
        <v>414</v>
      </c>
      <c r="K39" s="85" t="s">
        <v>409</v>
      </c>
    </row>
    <row r="40" spans="1:11" ht="12.75">
      <c r="A40" s="91">
        <v>2009.3</v>
      </c>
      <c r="B40" s="85" t="str">
        <f t="shared" si="2"/>
        <v>105</v>
      </c>
      <c r="C40" s="85">
        <v>105</v>
      </c>
      <c r="D40" s="85" t="s">
        <v>409</v>
      </c>
      <c r="E40" s="85" t="s">
        <v>409</v>
      </c>
      <c r="F40" s="92">
        <v>19.2825146729343</v>
      </c>
      <c r="G40" s="94">
        <v>30</v>
      </c>
      <c r="H40" s="94">
        <v>30</v>
      </c>
      <c r="I40" s="93">
        <f t="shared" si="3"/>
        <v>19.2825146729343</v>
      </c>
      <c r="J40" s="95" t="s">
        <v>410</v>
      </c>
      <c r="K40" s="85" t="s">
        <v>409</v>
      </c>
    </row>
    <row r="41" spans="1:11" ht="12.75">
      <c r="A41" s="91">
        <v>2009.3</v>
      </c>
      <c r="B41" s="85" t="str">
        <f t="shared" si="2"/>
        <v>347</v>
      </c>
      <c r="C41" s="85">
        <v>347</v>
      </c>
      <c r="D41" s="85" t="s">
        <v>409</v>
      </c>
      <c r="E41" s="85" t="s">
        <v>409</v>
      </c>
      <c r="F41" s="92">
        <v>19.0769591793477</v>
      </c>
      <c r="G41" s="94">
        <v>60</v>
      </c>
      <c r="H41" s="94">
        <v>60</v>
      </c>
      <c r="I41" s="93">
        <f t="shared" si="3"/>
        <v>19.0769591793477</v>
      </c>
      <c r="J41" s="95" t="s">
        <v>414</v>
      </c>
      <c r="K41" s="85" t="s">
        <v>409</v>
      </c>
    </row>
    <row r="42" spans="1:11" ht="12.75">
      <c r="A42" s="91">
        <v>2009.3</v>
      </c>
      <c r="B42" s="85" t="str">
        <f t="shared" si="2"/>
        <v>372EX</v>
      </c>
      <c r="C42" s="85">
        <v>372</v>
      </c>
      <c r="D42" s="85" t="s">
        <v>409</v>
      </c>
      <c r="E42" s="85" t="s">
        <v>413</v>
      </c>
      <c r="F42" s="92">
        <v>18.414859437751</v>
      </c>
      <c r="G42" s="94">
        <v>60</v>
      </c>
      <c r="H42" s="94">
        <v>60</v>
      </c>
      <c r="I42" s="93">
        <f t="shared" si="3"/>
        <v>18.414859437751</v>
      </c>
      <c r="J42" s="95" t="s">
        <v>414</v>
      </c>
      <c r="K42" s="85" t="s">
        <v>409</v>
      </c>
    </row>
    <row r="43" spans="1:11" ht="12.75">
      <c r="A43" s="91">
        <v>2009.3</v>
      </c>
      <c r="B43" s="85" t="str">
        <f t="shared" si="2"/>
        <v>12</v>
      </c>
      <c r="C43" s="85">
        <v>12</v>
      </c>
      <c r="D43" s="85" t="s">
        <v>409</v>
      </c>
      <c r="E43" s="85" t="s">
        <v>409</v>
      </c>
      <c r="F43" s="92">
        <v>18.3759218188218</v>
      </c>
      <c r="G43" s="94">
        <v>30</v>
      </c>
      <c r="H43" s="94">
        <v>30</v>
      </c>
      <c r="I43" s="93">
        <f t="shared" si="3"/>
        <v>18.3759218188218</v>
      </c>
      <c r="J43" s="95" t="s">
        <v>410</v>
      </c>
      <c r="K43" s="85" t="s">
        <v>409</v>
      </c>
    </row>
    <row r="44" spans="1:11" ht="12.75">
      <c r="A44" s="91">
        <v>2009.3</v>
      </c>
      <c r="B44" s="85" t="str">
        <f t="shared" si="2"/>
        <v>180TB</v>
      </c>
      <c r="C44" s="85">
        <v>180</v>
      </c>
      <c r="D44" s="85" t="s">
        <v>409</v>
      </c>
      <c r="E44" s="85" t="s">
        <v>412</v>
      </c>
      <c r="F44" s="92">
        <v>18.2402098477215</v>
      </c>
      <c r="G44" s="94">
        <v>30</v>
      </c>
      <c r="H44" s="94">
        <v>30</v>
      </c>
      <c r="I44" s="93">
        <f t="shared" si="3"/>
        <v>18.2402098477215</v>
      </c>
      <c r="J44" s="95" t="s">
        <v>410</v>
      </c>
      <c r="K44" s="85" t="s">
        <v>409</v>
      </c>
    </row>
    <row r="45" spans="1:11" ht="12.75">
      <c r="A45" s="91">
        <v>2009.3</v>
      </c>
      <c r="B45" s="85" t="str">
        <f t="shared" si="2"/>
        <v>60</v>
      </c>
      <c r="C45" s="85">
        <v>60</v>
      </c>
      <c r="D45" s="85" t="s">
        <v>409</v>
      </c>
      <c r="E45" s="85" t="s">
        <v>409</v>
      </c>
      <c r="F45" s="92">
        <v>17.7779661016949</v>
      </c>
      <c r="G45" s="94">
        <v>30</v>
      </c>
      <c r="H45" s="94">
        <v>30</v>
      </c>
      <c r="I45" s="93">
        <f t="shared" si="3"/>
        <v>17.7779661016949</v>
      </c>
      <c r="J45" s="95" t="s">
        <v>410</v>
      </c>
      <c r="K45" s="85" t="s">
        <v>409</v>
      </c>
    </row>
    <row r="46" spans="1:11" ht="12.75">
      <c r="A46" s="91">
        <v>2009.3</v>
      </c>
      <c r="B46" s="85" t="str">
        <f t="shared" si="2"/>
        <v>16</v>
      </c>
      <c r="C46" s="85">
        <v>16</v>
      </c>
      <c r="D46" s="85" t="s">
        <v>409</v>
      </c>
      <c r="E46" s="85" t="s">
        <v>409</v>
      </c>
      <c r="F46" s="92">
        <v>17.0697796130752</v>
      </c>
      <c r="G46" s="94">
        <v>30</v>
      </c>
      <c r="H46" s="94">
        <v>30</v>
      </c>
      <c r="I46" s="93">
        <f t="shared" si="3"/>
        <v>17.0697796130752</v>
      </c>
      <c r="J46" s="95" t="s">
        <v>410</v>
      </c>
      <c r="K46" s="85" t="s">
        <v>409</v>
      </c>
    </row>
    <row r="47" spans="1:11" ht="12.75">
      <c r="A47" s="91">
        <v>2009.3</v>
      </c>
      <c r="B47" s="85" t="str">
        <f t="shared" si="2"/>
        <v>187</v>
      </c>
      <c r="C47" s="85">
        <v>187</v>
      </c>
      <c r="D47" s="85" t="s">
        <v>409</v>
      </c>
      <c r="E47" s="85" t="s">
        <v>409</v>
      </c>
      <c r="F47" s="92">
        <v>16.5004237817097</v>
      </c>
      <c r="G47" s="94">
        <v>60</v>
      </c>
      <c r="H47" s="94">
        <v>60</v>
      </c>
      <c r="I47" s="93">
        <f t="shared" si="3"/>
        <v>16.5004237817097</v>
      </c>
      <c r="J47" s="95" t="s">
        <v>410</v>
      </c>
      <c r="K47" s="85" t="s">
        <v>409</v>
      </c>
    </row>
    <row r="48" spans="1:11" ht="12.75">
      <c r="A48" s="91">
        <v>2009.3</v>
      </c>
      <c r="B48" s="85" t="str">
        <f t="shared" si="2"/>
        <v>27</v>
      </c>
      <c r="C48" s="85">
        <v>27</v>
      </c>
      <c r="D48" s="85" t="s">
        <v>409</v>
      </c>
      <c r="E48" s="85" t="s">
        <v>409</v>
      </c>
      <c r="F48" s="92">
        <v>16.4839362882554</v>
      </c>
      <c r="G48" s="94">
        <v>30</v>
      </c>
      <c r="H48" s="94">
        <v>30</v>
      </c>
      <c r="I48" s="93">
        <f t="shared" si="3"/>
        <v>16.4839362882554</v>
      </c>
      <c r="J48" s="95" t="s">
        <v>410</v>
      </c>
      <c r="K48" s="85" t="s">
        <v>409</v>
      </c>
    </row>
    <row r="49" spans="1:11" ht="12.75">
      <c r="A49" s="91">
        <v>2009.3</v>
      </c>
      <c r="B49" s="85" t="str">
        <f t="shared" si="2"/>
        <v>181</v>
      </c>
      <c r="C49" s="85">
        <v>181</v>
      </c>
      <c r="D49" s="85" t="s">
        <v>409</v>
      </c>
      <c r="E49" s="85" t="s">
        <v>409</v>
      </c>
      <c r="F49" s="92">
        <v>16.4318604285551</v>
      </c>
      <c r="G49" s="94">
        <v>30</v>
      </c>
      <c r="H49" s="94">
        <v>30</v>
      </c>
      <c r="I49" s="93">
        <f t="shared" si="3"/>
        <v>16.4318604285551</v>
      </c>
      <c r="J49" s="95" t="s">
        <v>410</v>
      </c>
      <c r="K49" s="85" t="s">
        <v>409</v>
      </c>
    </row>
    <row r="50" spans="1:11" ht="12.75">
      <c r="A50" s="91">
        <v>2009.3</v>
      </c>
      <c r="B50" s="85" t="str">
        <f t="shared" si="2"/>
        <v>128</v>
      </c>
      <c r="C50" s="85">
        <v>128</v>
      </c>
      <c r="D50" s="85" t="s">
        <v>409</v>
      </c>
      <c r="E50" s="85" t="s">
        <v>409</v>
      </c>
      <c r="F50" s="92">
        <v>16.031187498444</v>
      </c>
      <c r="G50" s="94">
        <v>30</v>
      </c>
      <c r="H50" s="94">
        <v>30</v>
      </c>
      <c r="I50" s="93">
        <f t="shared" si="3"/>
        <v>16.031187498444</v>
      </c>
      <c r="J50" s="95" t="s">
        <v>414</v>
      </c>
      <c r="K50" s="85" t="s">
        <v>409</v>
      </c>
    </row>
    <row r="51" spans="1:11" ht="12.75">
      <c r="A51" s="91">
        <v>2009.3</v>
      </c>
      <c r="B51" s="85" t="str">
        <f t="shared" si="2"/>
        <v>901DART</v>
      </c>
      <c r="C51" s="85">
        <v>901</v>
      </c>
      <c r="D51" s="85" t="s">
        <v>409</v>
      </c>
      <c r="E51" s="85" t="s">
        <v>418</v>
      </c>
      <c r="F51" s="92">
        <v>16.0164619733667</v>
      </c>
      <c r="G51" s="94">
        <v>60</v>
      </c>
      <c r="H51" s="94">
        <v>60</v>
      </c>
      <c r="I51" s="93">
        <f t="shared" si="3"/>
        <v>16.0164619733667</v>
      </c>
      <c r="J51" s="95" t="s">
        <v>410</v>
      </c>
      <c r="K51" s="85" t="s">
        <v>418</v>
      </c>
    </row>
    <row r="52" spans="1:11" ht="12.75">
      <c r="A52" s="91">
        <v>2009.3</v>
      </c>
      <c r="B52" s="85" t="str">
        <f t="shared" si="2"/>
        <v>255</v>
      </c>
      <c r="C52" s="85">
        <v>255</v>
      </c>
      <c r="D52" s="85" t="s">
        <v>409</v>
      </c>
      <c r="E52" s="85" t="s">
        <v>409</v>
      </c>
      <c r="F52" s="92">
        <v>15.5846654940479</v>
      </c>
      <c r="G52" s="94">
        <v>30</v>
      </c>
      <c r="H52" s="94">
        <v>30</v>
      </c>
      <c r="I52" s="93">
        <f t="shared" si="3"/>
        <v>15.5846654940479</v>
      </c>
      <c r="J52" s="95" t="s">
        <v>414</v>
      </c>
      <c r="K52" s="85" t="s">
        <v>409</v>
      </c>
    </row>
    <row r="53" spans="1:11" ht="12.75">
      <c r="A53" s="91">
        <v>2009.3</v>
      </c>
      <c r="B53" s="85" t="str">
        <f t="shared" si="2"/>
        <v>21</v>
      </c>
      <c r="C53" s="85">
        <v>21</v>
      </c>
      <c r="D53" s="85" t="s">
        <v>409</v>
      </c>
      <c r="E53" s="85" t="s">
        <v>409</v>
      </c>
      <c r="F53" s="92">
        <v>15.2514136056824</v>
      </c>
      <c r="G53" s="94">
        <v>30</v>
      </c>
      <c r="H53" s="94">
        <v>30</v>
      </c>
      <c r="I53" s="93">
        <f t="shared" si="3"/>
        <v>15.2514136056824</v>
      </c>
      <c r="J53" s="95" t="s">
        <v>410</v>
      </c>
      <c r="K53" s="85" t="s">
        <v>409</v>
      </c>
    </row>
    <row r="54" spans="1:11" ht="12.75">
      <c r="A54" s="91">
        <v>2009.3</v>
      </c>
      <c r="B54" s="85" t="str">
        <f t="shared" si="2"/>
        <v>346</v>
      </c>
      <c r="C54" s="85">
        <v>346</v>
      </c>
      <c r="D54" s="85" t="s">
        <v>409</v>
      </c>
      <c r="E54" s="85" t="s">
        <v>409</v>
      </c>
      <c r="F54" s="92">
        <v>14.9894315820816</v>
      </c>
      <c r="G54" s="94">
        <v>60</v>
      </c>
      <c r="H54" s="94">
        <v>60</v>
      </c>
      <c r="I54" s="93">
        <f t="shared" si="3"/>
        <v>14.9894315820816</v>
      </c>
      <c r="J54" s="95" t="s">
        <v>414</v>
      </c>
      <c r="K54" s="85" t="s">
        <v>409</v>
      </c>
    </row>
    <row r="55" spans="1:11" ht="12.75">
      <c r="A55" s="91">
        <v>2009.3</v>
      </c>
      <c r="B55" s="85" t="str">
        <f>C55&amp;IF(D55=" ",IF(E55=" ",,E55),D55)&amp;IF(D55=" ",,IF(E55=" ",,E55))</f>
        <v>271EB</v>
      </c>
      <c r="C55" s="85">
        <v>271</v>
      </c>
      <c r="D55" s="213" t="s">
        <v>613</v>
      </c>
      <c r="E55" s="85" t="s">
        <v>409</v>
      </c>
      <c r="F55" s="92">
        <v>14.9609157258428</v>
      </c>
      <c r="G55" s="94">
        <v>60</v>
      </c>
      <c r="H55" s="94">
        <v>60</v>
      </c>
      <c r="I55" s="93">
        <f>F55*H55/G55*0.75</f>
        <v>11.2206867943821</v>
      </c>
      <c r="J55" s="95" t="s">
        <v>414</v>
      </c>
      <c r="K55" s="213" t="s">
        <v>614</v>
      </c>
    </row>
    <row r="56" spans="1:11" ht="12.75">
      <c r="A56" s="91">
        <v>2009.3</v>
      </c>
      <c r="B56" s="85" t="str">
        <f t="shared" si="2"/>
        <v>271</v>
      </c>
      <c r="C56" s="85">
        <v>271</v>
      </c>
      <c r="D56" s="85" t="s">
        <v>409</v>
      </c>
      <c r="E56" s="85" t="s">
        <v>409</v>
      </c>
      <c r="F56" s="92">
        <v>14.9609157258428</v>
      </c>
      <c r="G56" s="94">
        <v>60</v>
      </c>
      <c r="H56" s="94">
        <v>60</v>
      </c>
      <c r="I56" s="93">
        <f t="shared" si="3"/>
        <v>14.9609157258428</v>
      </c>
      <c r="J56" s="95" t="s">
        <v>414</v>
      </c>
      <c r="K56" s="85" t="s">
        <v>409</v>
      </c>
    </row>
    <row r="57" spans="1:11" ht="12.75">
      <c r="A57" s="91">
        <v>2009.3</v>
      </c>
      <c r="B57" s="85" t="str">
        <f t="shared" si="2"/>
        <v>168</v>
      </c>
      <c r="C57" s="85">
        <v>168</v>
      </c>
      <c r="D57" s="85" t="s">
        <v>409</v>
      </c>
      <c r="E57" s="85" t="s">
        <v>409</v>
      </c>
      <c r="F57" s="92">
        <v>14.9090102431583</v>
      </c>
      <c r="G57" s="94">
        <v>60</v>
      </c>
      <c r="H57" s="94">
        <v>60</v>
      </c>
      <c r="I57" s="93">
        <f t="shared" si="3"/>
        <v>14.9090102431583</v>
      </c>
      <c r="J57" s="95" t="s">
        <v>410</v>
      </c>
      <c r="K57" s="85" t="s">
        <v>409</v>
      </c>
    </row>
    <row r="58" spans="1:11" ht="12.75">
      <c r="A58" s="91">
        <v>2009.3</v>
      </c>
      <c r="B58" s="85" t="str">
        <f t="shared" si="2"/>
        <v>56</v>
      </c>
      <c r="C58" s="85">
        <v>56</v>
      </c>
      <c r="D58" s="85" t="s">
        <v>409</v>
      </c>
      <c r="E58" s="85" t="s">
        <v>409</v>
      </c>
      <c r="F58" s="92">
        <v>14.3158334712511</v>
      </c>
      <c r="G58" s="94">
        <v>60</v>
      </c>
      <c r="H58" s="94">
        <v>60</v>
      </c>
      <c r="I58" s="93">
        <f t="shared" si="3"/>
        <v>14.3158334712511</v>
      </c>
      <c r="J58" s="95" t="s">
        <v>410</v>
      </c>
      <c r="K58" s="85" t="s">
        <v>409</v>
      </c>
    </row>
    <row r="59" spans="1:11" ht="12.75">
      <c r="A59" s="91">
        <v>2009.3</v>
      </c>
      <c r="B59" s="85" t="str">
        <f t="shared" si="2"/>
        <v>230W</v>
      </c>
      <c r="C59" s="85">
        <v>230</v>
      </c>
      <c r="D59" s="85" t="s">
        <v>417</v>
      </c>
      <c r="E59" s="85" t="s">
        <v>409</v>
      </c>
      <c r="F59" s="92">
        <v>14.3145734731795</v>
      </c>
      <c r="G59" s="94">
        <v>60</v>
      </c>
      <c r="H59" s="94">
        <v>60</v>
      </c>
      <c r="I59" s="93">
        <f t="shared" si="3"/>
        <v>14.3145734731795</v>
      </c>
      <c r="J59" s="95" t="s">
        <v>410</v>
      </c>
      <c r="K59" s="85" t="s">
        <v>409</v>
      </c>
    </row>
    <row r="60" spans="1:11" ht="12.75">
      <c r="A60" s="91">
        <v>2009.3</v>
      </c>
      <c r="B60" s="85" t="str">
        <f t="shared" si="2"/>
        <v>125</v>
      </c>
      <c r="C60" s="85">
        <v>125</v>
      </c>
      <c r="D60" s="85" t="s">
        <v>409</v>
      </c>
      <c r="E60" s="85" t="s">
        <v>409</v>
      </c>
      <c r="F60" s="92">
        <v>13.892111280983</v>
      </c>
      <c r="G60" s="94">
        <v>30</v>
      </c>
      <c r="H60" s="94">
        <v>30</v>
      </c>
      <c r="I60" s="93">
        <f t="shared" si="3"/>
        <v>13.892111280983</v>
      </c>
      <c r="J60" s="95" t="s">
        <v>414</v>
      </c>
      <c r="K60" s="85" t="s">
        <v>409</v>
      </c>
    </row>
    <row r="61" spans="1:11" ht="12.75">
      <c r="A61" s="91">
        <v>2009.3</v>
      </c>
      <c r="B61" s="85" t="str">
        <f t="shared" si="2"/>
        <v>17</v>
      </c>
      <c r="C61" s="85">
        <v>17</v>
      </c>
      <c r="D61" s="85" t="s">
        <v>409</v>
      </c>
      <c r="E61" s="85" t="s">
        <v>409</v>
      </c>
      <c r="F61" s="92">
        <v>13.8565641450049</v>
      </c>
      <c r="G61" s="94">
        <v>30</v>
      </c>
      <c r="H61" s="94">
        <v>30</v>
      </c>
      <c r="I61" s="93">
        <f t="shared" si="3"/>
        <v>13.8565641450049</v>
      </c>
      <c r="J61" s="95" t="s">
        <v>410</v>
      </c>
      <c r="K61" s="85" t="s">
        <v>409</v>
      </c>
    </row>
    <row r="62" spans="1:11" ht="12.75">
      <c r="A62" s="91">
        <v>2009.3</v>
      </c>
      <c r="B62" s="85" t="str">
        <f t="shared" si="2"/>
        <v>148</v>
      </c>
      <c r="C62" s="85">
        <v>148</v>
      </c>
      <c r="D62" s="85" t="s">
        <v>409</v>
      </c>
      <c r="E62" s="85" t="s">
        <v>409</v>
      </c>
      <c r="F62" s="92">
        <v>13.6743367775833</v>
      </c>
      <c r="G62" s="94">
        <v>30</v>
      </c>
      <c r="H62" s="94">
        <v>30</v>
      </c>
      <c r="I62" s="93">
        <f t="shared" si="3"/>
        <v>13.6743367775833</v>
      </c>
      <c r="J62" s="95" t="s">
        <v>410</v>
      </c>
      <c r="K62" s="85" t="s">
        <v>409</v>
      </c>
    </row>
    <row r="63" spans="1:11" ht="12.75">
      <c r="A63" s="91">
        <v>2009.3</v>
      </c>
      <c r="B63" s="85" t="str">
        <f t="shared" si="2"/>
        <v>24</v>
      </c>
      <c r="C63" s="85">
        <v>24</v>
      </c>
      <c r="D63" s="85" t="s">
        <v>409</v>
      </c>
      <c r="E63" s="85" t="s">
        <v>409</v>
      </c>
      <c r="F63" s="92">
        <v>13.5006621269845</v>
      </c>
      <c r="G63" s="94">
        <v>30</v>
      </c>
      <c r="H63" s="94">
        <v>30</v>
      </c>
      <c r="I63" s="93">
        <f t="shared" si="3"/>
        <v>13.5006621269845</v>
      </c>
      <c r="J63" s="95" t="s">
        <v>410</v>
      </c>
      <c r="K63" s="85" t="s">
        <v>409</v>
      </c>
    </row>
    <row r="64" spans="1:11" ht="12.75">
      <c r="A64" s="91">
        <v>2009.3</v>
      </c>
      <c r="B64" s="85" t="str">
        <f t="shared" si="2"/>
        <v>903DART</v>
      </c>
      <c r="C64" s="85">
        <v>903</v>
      </c>
      <c r="D64" s="85" t="s">
        <v>409</v>
      </c>
      <c r="E64" s="85" t="s">
        <v>418</v>
      </c>
      <c r="F64" s="92">
        <v>13.1350653423217</v>
      </c>
      <c r="G64" s="94">
        <v>60</v>
      </c>
      <c r="H64" s="94">
        <v>60</v>
      </c>
      <c r="I64" s="93">
        <f t="shared" si="3"/>
        <v>13.1350653423217</v>
      </c>
      <c r="J64" s="95" t="s">
        <v>410</v>
      </c>
      <c r="K64" s="85" t="s">
        <v>418</v>
      </c>
    </row>
    <row r="65" spans="1:11" ht="12.75">
      <c r="A65" s="91">
        <v>2009.3</v>
      </c>
      <c r="B65" s="85" t="str">
        <f t="shared" si="2"/>
        <v>245</v>
      </c>
      <c r="C65" s="85">
        <v>245</v>
      </c>
      <c r="D65" s="85" t="s">
        <v>409</v>
      </c>
      <c r="E65" s="85" t="s">
        <v>409</v>
      </c>
      <c r="F65" s="92">
        <v>12.41878558437</v>
      </c>
      <c r="G65" s="94">
        <v>30</v>
      </c>
      <c r="H65" s="94">
        <v>30</v>
      </c>
      <c r="I65" s="93">
        <f t="shared" si="3"/>
        <v>12.41878558437</v>
      </c>
      <c r="J65" s="95" t="s">
        <v>410</v>
      </c>
      <c r="K65" s="85" t="s">
        <v>409</v>
      </c>
    </row>
    <row r="66" spans="1:11" ht="12.75">
      <c r="A66" s="91">
        <v>2009.3</v>
      </c>
      <c r="B66" s="85" t="str">
        <f t="shared" si="2"/>
        <v>240</v>
      </c>
      <c r="C66" s="85">
        <v>240</v>
      </c>
      <c r="D66" s="85" t="s">
        <v>409</v>
      </c>
      <c r="E66" s="85" t="s">
        <v>409</v>
      </c>
      <c r="F66" s="92">
        <v>12.2964020749339</v>
      </c>
      <c r="G66" s="94">
        <v>60</v>
      </c>
      <c r="H66" s="94">
        <v>60</v>
      </c>
      <c r="I66" s="93">
        <f t="shared" si="3"/>
        <v>12.2964020749339</v>
      </c>
      <c r="J66" s="95" t="s">
        <v>410</v>
      </c>
      <c r="K66" s="85" t="s">
        <v>409</v>
      </c>
    </row>
    <row r="67" spans="1:11" ht="12.75">
      <c r="A67" s="91">
        <v>2009.3</v>
      </c>
      <c r="B67" s="85" t="str">
        <f t="shared" si="2"/>
        <v>107</v>
      </c>
      <c r="C67" s="85">
        <v>107</v>
      </c>
      <c r="D67" s="85" t="s">
        <v>409</v>
      </c>
      <c r="E67" s="85" t="s">
        <v>409</v>
      </c>
      <c r="F67" s="92">
        <v>12.2440725455941</v>
      </c>
      <c r="G67" s="94">
        <v>30</v>
      </c>
      <c r="H67" s="94">
        <v>30</v>
      </c>
      <c r="I67" s="93">
        <f t="shared" si="3"/>
        <v>12.2440725455941</v>
      </c>
      <c r="J67" s="95" t="s">
        <v>414</v>
      </c>
      <c r="K67" s="85" t="s">
        <v>409</v>
      </c>
    </row>
    <row r="68" spans="1:11" ht="12.75">
      <c r="A68" s="91">
        <v>2009.3</v>
      </c>
      <c r="B68" s="85" t="str">
        <f aca="true" t="shared" si="4" ref="B68:B82">C68&amp;IF(D68=" ",IF(E68=" ",,E68),D68)&amp;IF(D68=" ",,IF(E68=" ",,E68))</f>
        <v>331</v>
      </c>
      <c r="C68" s="85">
        <v>331</v>
      </c>
      <c r="D68" s="85" t="s">
        <v>409</v>
      </c>
      <c r="E68" s="85" t="s">
        <v>409</v>
      </c>
      <c r="F68" s="92">
        <v>11.8463935236635</v>
      </c>
      <c r="G68" s="94">
        <v>60</v>
      </c>
      <c r="H68" s="94">
        <v>60</v>
      </c>
      <c r="I68" s="93">
        <f aca="true" t="shared" si="5" ref="I68:I82">F68*H68/G68</f>
        <v>11.8463935236635</v>
      </c>
      <c r="J68" s="95" t="s">
        <v>410</v>
      </c>
      <c r="K68" s="85" t="s">
        <v>409</v>
      </c>
    </row>
    <row r="69" spans="1:11" ht="12.75">
      <c r="A69" s="91">
        <v>2009.3</v>
      </c>
      <c r="B69" s="85" t="str">
        <f t="shared" si="4"/>
        <v>23</v>
      </c>
      <c r="C69" s="85">
        <v>23</v>
      </c>
      <c r="D69" s="85" t="s">
        <v>409</v>
      </c>
      <c r="E69" s="85" t="s">
        <v>409</v>
      </c>
      <c r="F69" s="92">
        <v>11.785390576666</v>
      </c>
      <c r="G69" s="94">
        <v>30</v>
      </c>
      <c r="H69" s="94">
        <v>30</v>
      </c>
      <c r="I69" s="93">
        <f t="shared" si="5"/>
        <v>11.785390576666</v>
      </c>
      <c r="J69" s="95" t="s">
        <v>414</v>
      </c>
      <c r="K69" s="85" t="s">
        <v>409</v>
      </c>
    </row>
    <row r="70" spans="1:11" ht="12.75">
      <c r="A70" s="91">
        <v>2009.3</v>
      </c>
      <c r="B70" s="85" t="str">
        <f t="shared" si="4"/>
        <v>33</v>
      </c>
      <c r="C70" s="85">
        <v>33</v>
      </c>
      <c r="D70" s="85" t="s">
        <v>409</v>
      </c>
      <c r="E70" s="85" t="s">
        <v>409</v>
      </c>
      <c r="F70" s="92">
        <v>15.5719289911516</v>
      </c>
      <c r="G70" s="94">
        <v>45</v>
      </c>
      <c r="H70" s="94">
        <v>45</v>
      </c>
      <c r="I70" s="93">
        <f t="shared" si="5"/>
        <v>15.5719289911516</v>
      </c>
      <c r="J70" s="95" t="s">
        <v>410</v>
      </c>
      <c r="K70" s="85" t="s">
        <v>409</v>
      </c>
    </row>
    <row r="71" spans="1:11" ht="12.75">
      <c r="A71" s="91">
        <v>2009.3</v>
      </c>
      <c r="B71" s="85" t="str">
        <f t="shared" si="4"/>
        <v>221</v>
      </c>
      <c r="C71" s="85">
        <v>221</v>
      </c>
      <c r="D71" s="85" t="s">
        <v>409</v>
      </c>
      <c r="E71" s="85" t="s">
        <v>409</v>
      </c>
      <c r="F71" s="92">
        <v>9.0074388635103</v>
      </c>
      <c r="G71" s="94">
        <v>60</v>
      </c>
      <c r="H71" s="94">
        <v>60</v>
      </c>
      <c r="I71" s="93">
        <f t="shared" si="5"/>
        <v>9.0074388635103</v>
      </c>
      <c r="J71" s="95" t="s">
        <v>410</v>
      </c>
      <c r="K71" s="85" t="s">
        <v>409</v>
      </c>
    </row>
    <row r="72" spans="1:11" ht="12.75">
      <c r="A72" s="91">
        <v>2009.3</v>
      </c>
      <c r="B72" s="85" t="str">
        <f t="shared" si="4"/>
        <v>248</v>
      </c>
      <c r="C72" s="85">
        <v>248</v>
      </c>
      <c r="D72" s="85" t="s">
        <v>409</v>
      </c>
      <c r="E72" s="85" t="s">
        <v>409</v>
      </c>
      <c r="F72" s="92">
        <v>8.9325670189542</v>
      </c>
      <c r="G72" s="94">
        <v>30</v>
      </c>
      <c r="H72" s="94">
        <v>30</v>
      </c>
      <c r="I72" s="93">
        <f t="shared" si="5"/>
        <v>8.9325670189542</v>
      </c>
      <c r="J72" s="95" t="s">
        <v>410</v>
      </c>
      <c r="K72" s="85" t="s">
        <v>409</v>
      </c>
    </row>
    <row r="73" spans="1:11" ht="12.75">
      <c r="A73" s="91">
        <v>2009.3</v>
      </c>
      <c r="B73" s="85" t="str">
        <f t="shared" si="4"/>
        <v>234</v>
      </c>
      <c r="C73" s="85">
        <v>234</v>
      </c>
      <c r="D73" s="85" t="s">
        <v>409</v>
      </c>
      <c r="E73" s="85" t="s">
        <v>409</v>
      </c>
      <c r="F73" s="92">
        <v>8.89170192938806</v>
      </c>
      <c r="G73" s="94">
        <v>60</v>
      </c>
      <c r="H73" s="94">
        <v>60</v>
      </c>
      <c r="I73" s="93">
        <f t="shared" si="5"/>
        <v>8.89170192938806</v>
      </c>
      <c r="J73" s="95" t="s">
        <v>410</v>
      </c>
      <c r="K73" s="85" t="s">
        <v>409</v>
      </c>
    </row>
    <row r="74" spans="1:11" s="96" customFormat="1" ht="12.75">
      <c r="A74" s="97">
        <v>2009.3</v>
      </c>
      <c r="B74" s="96" t="str">
        <f t="shared" si="4"/>
        <v>348</v>
      </c>
      <c r="C74" s="96">
        <v>348</v>
      </c>
      <c r="D74" s="96" t="s">
        <v>409</v>
      </c>
      <c r="E74" s="96" t="s">
        <v>409</v>
      </c>
      <c r="F74" s="98">
        <v>17.7824637193647</v>
      </c>
      <c r="G74" s="100">
        <v>60</v>
      </c>
      <c r="H74" s="100">
        <v>60</v>
      </c>
      <c r="I74" s="99">
        <f t="shared" si="5"/>
        <v>17.782463719364696</v>
      </c>
      <c r="J74" s="101" t="s">
        <v>414</v>
      </c>
      <c r="K74" s="96" t="s">
        <v>409</v>
      </c>
    </row>
    <row r="75" spans="1:11" ht="12.75">
      <c r="A75" s="91">
        <v>2009.3</v>
      </c>
      <c r="B75" s="85" t="str">
        <f t="shared" si="4"/>
        <v>345</v>
      </c>
      <c r="C75" s="85">
        <v>345</v>
      </c>
      <c r="D75" s="85" t="s">
        <v>409</v>
      </c>
      <c r="E75" s="85" t="s">
        <v>409</v>
      </c>
      <c r="F75" s="92">
        <v>16.3119913428089</v>
      </c>
      <c r="G75" s="94">
        <v>60</v>
      </c>
      <c r="H75" s="94">
        <v>30</v>
      </c>
      <c r="I75" s="93">
        <f t="shared" si="5"/>
        <v>8.15599567140445</v>
      </c>
      <c r="J75" s="95" t="s">
        <v>414</v>
      </c>
      <c r="K75" s="85" t="s">
        <v>409</v>
      </c>
    </row>
    <row r="76" spans="1:11" ht="12.75">
      <c r="A76" s="91">
        <v>2009.3</v>
      </c>
      <c r="B76" s="85" t="str">
        <f t="shared" si="4"/>
        <v>39</v>
      </c>
      <c r="C76" s="85">
        <v>39</v>
      </c>
      <c r="D76" s="85" t="s">
        <v>409</v>
      </c>
      <c r="E76" s="85" t="s">
        <v>409</v>
      </c>
      <c r="F76" s="92">
        <v>7.756372929511</v>
      </c>
      <c r="G76" s="94">
        <v>45</v>
      </c>
      <c r="H76" s="94">
        <v>45</v>
      </c>
      <c r="I76" s="93">
        <f t="shared" si="5"/>
        <v>7.756372929511</v>
      </c>
      <c r="J76" s="95" t="s">
        <v>410</v>
      </c>
      <c r="K76" s="85" t="s">
        <v>409</v>
      </c>
    </row>
    <row r="77" spans="1:11" ht="12.75">
      <c r="A77" s="91">
        <v>2009.3</v>
      </c>
      <c r="B77" s="85" t="str">
        <f t="shared" si="4"/>
        <v>222</v>
      </c>
      <c r="C77" s="85">
        <v>222</v>
      </c>
      <c r="D77" s="85" t="s">
        <v>409</v>
      </c>
      <c r="E77" s="85" t="s">
        <v>409</v>
      </c>
      <c r="F77" s="92">
        <v>7.15598488199108</v>
      </c>
      <c r="G77" s="94">
        <v>60</v>
      </c>
      <c r="H77" s="94">
        <v>60</v>
      </c>
      <c r="I77" s="93">
        <f t="shared" si="5"/>
        <v>7.15598488199108</v>
      </c>
      <c r="J77" s="95" t="s">
        <v>410</v>
      </c>
      <c r="K77" s="85" t="s">
        <v>409</v>
      </c>
    </row>
    <row r="78" spans="1:11" ht="12.75">
      <c r="A78" s="91">
        <v>2009.3</v>
      </c>
      <c r="B78" s="85" t="str">
        <f t="shared" si="4"/>
        <v>131</v>
      </c>
      <c r="C78" s="85">
        <v>131</v>
      </c>
      <c r="D78" s="85" t="s">
        <v>409</v>
      </c>
      <c r="E78" s="85" t="s">
        <v>409</v>
      </c>
      <c r="F78" s="92">
        <v>14.0111466681303</v>
      </c>
      <c r="G78" s="94">
        <v>60</v>
      </c>
      <c r="H78" s="94">
        <v>30</v>
      </c>
      <c r="I78" s="93">
        <f t="shared" si="5"/>
        <v>7.00557333406515</v>
      </c>
      <c r="J78" s="95" t="s">
        <v>414</v>
      </c>
      <c r="K78" s="85" t="s">
        <v>409</v>
      </c>
    </row>
    <row r="79" spans="1:11" ht="12.75">
      <c r="A79" s="91">
        <v>2009.3</v>
      </c>
      <c r="B79" s="85" t="str">
        <f t="shared" si="4"/>
        <v>132</v>
      </c>
      <c r="C79" s="85">
        <v>132</v>
      </c>
      <c r="D79" s="85" t="s">
        <v>409</v>
      </c>
      <c r="E79" s="85" t="s">
        <v>409</v>
      </c>
      <c r="F79" s="92">
        <v>13.8895456596281</v>
      </c>
      <c r="G79" s="94">
        <v>60</v>
      </c>
      <c r="H79" s="94">
        <v>30</v>
      </c>
      <c r="I79" s="93">
        <f t="shared" si="5"/>
        <v>6.94477282981405</v>
      </c>
      <c r="J79" s="95" t="s">
        <v>414</v>
      </c>
      <c r="K79" s="85" t="s">
        <v>409</v>
      </c>
    </row>
    <row r="80" spans="1:11" ht="12.75">
      <c r="A80" s="91">
        <v>2009.3</v>
      </c>
      <c r="B80" s="85" t="str">
        <f t="shared" si="4"/>
        <v>209</v>
      </c>
      <c r="C80" s="85">
        <v>209</v>
      </c>
      <c r="D80" s="85" t="s">
        <v>409</v>
      </c>
      <c r="E80" s="85" t="s">
        <v>409</v>
      </c>
      <c r="F80" s="92">
        <v>5.02836320937388</v>
      </c>
      <c r="G80" s="94">
        <v>60</v>
      </c>
      <c r="H80" s="94">
        <v>60</v>
      </c>
      <c r="I80" s="93">
        <f t="shared" si="5"/>
        <v>5.02836320937388</v>
      </c>
      <c r="J80" s="95" t="s">
        <v>410</v>
      </c>
      <c r="K80" s="85" t="s">
        <v>409</v>
      </c>
    </row>
    <row r="81" spans="1:11" ht="12.75">
      <c r="A81" s="91">
        <v>2009.3</v>
      </c>
      <c r="B81" s="85" t="str">
        <f t="shared" si="4"/>
        <v>238</v>
      </c>
      <c r="C81" s="85">
        <v>238</v>
      </c>
      <c r="D81" s="85" t="s">
        <v>409</v>
      </c>
      <c r="E81" s="85" t="s">
        <v>409</v>
      </c>
      <c r="F81" s="92">
        <v>4.24843283428522</v>
      </c>
      <c r="G81" s="94">
        <v>60</v>
      </c>
      <c r="H81" s="94">
        <v>60</v>
      </c>
      <c r="I81" s="93">
        <f t="shared" si="5"/>
        <v>4.24843283428522</v>
      </c>
      <c r="J81" s="95" t="s">
        <v>410</v>
      </c>
      <c r="K81" s="85" t="s">
        <v>409</v>
      </c>
    </row>
    <row r="82" spans="1:11" ht="12.75">
      <c r="A82" s="91">
        <v>2009.3</v>
      </c>
      <c r="B82" s="85" t="str">
        <f t="shared" si="4"/>
        <v>236</v>
      </c>
      <c r="C82" s="85">
        <v>236</v>
      </c>
      <c r="D82" s="85" t="s">
        <v>409</v>
      </c>
      <c r="E82" s="85" t="s">
        <v>409</v>
      </c>
      <c r="F82" s="92">
        <v>3.42891532599414</v>
      </c>
      <c r="G82" s="94">
        <v>60</v>
      </c>
      <c r="H82" s="94">
        <v>60</v>
      </c>
      <c r="I82" s="93">
        <f t="shared" si="5"/>
        <v>3.42891532599414</v>
      </c>
      <c r="J82" s="95" t="s">
        <v>410</v>
      </c>
      <c r="K82" s="85" t="s">
        <v>409</v>
      </c>
    </row>
    <row r="83" spans="1:11" ht="12.75">
      <c r="A83" s="91">
        <v>2009.3</v>
      </c>
      <c r="B83" s="85" t="str">
        <f>C83&amp;IF(D83=" ",IF(E83=" ",,E83),D83)&amp;IF(D83=" ",,IF(E83=" ",,E83))</f>
        <v>71</v>
      </c>
      <c r="C83" s="85">
        <v>71</v>
      </c>
      <c r="D83" s="85" t="s">
        <v>409</v>
      </c>
      <c r="E83" s="85" t="s">
        <v>409</v>
      </c>
      <c r="F83" s="92">
        <v>23.2281125629281</v>
      </c>
      <c r="G83" s="94">
        <v>30</v>
      </c>
      <c r="H83" s="94">
        <v>30</v>
      </c>
      <c r="I83" s="93">
        <f>F83*H83/G83</f>
        <v>23.2281125629281</v>
      </c>
      <c r="J83" s="95" t="s">
        <v>410</v>
      </c>
      <c r="K83" s="85" t="s">
        <v>409</v>
      </c>
    </row>
    <row r="84" spans="1:11" ht="12.75">
      <c r="A84" s="91">
        <v>2009.3</v>
      </c>
      <c r="B84" s="85" t="str">
        <f>C84&amp;IF(D84=" ",IF(E84=" ",,E84),D84)&amp;IF(D84=" ",,IF(E84=" ",,E84))</f>
        <v>230E</v>
      </c>
      <c r="C84" s="85">
        <v>230</v>
      </c>
      <c r="D84" s="85" t="s">
        <v>68</v>
      </c>
      <c r="E84" s="85" t="s">
        <v>409</v>
      </c>
      <c r="F84" s="92">
        <v>26.1846770288167</v>
      </c>
      <c r="G84" s="94">
        <v>30</v>
      </c>
      <c r="H84" s="94">
        <v>30</v>
      </c>
      <c r="I84" s="93">
        <f>F84*H84/G84</f>
        <v>26.1846770288167</v>
      </c>
      <c r="J84" s="95" t="s">
        <v>410</v>
      </c>
      <c r="K84" s="85" t="s">
        <v>409</v>
      </c>
    </row>
    <row r="85" ht="12.75">
      <c r="B85" s="85">
        <f aca="true" t="shared" si="6" ref="B85:B142">C85&amp;IF(D85=" ",IF(E85=" ",,E85),D85)&amp;IF(D85=" ",,IF(E85=" ",,E85))</f>
      </c>
    </row>
    <row r="86" ht="12.75">
      <c r="B86" s="85">
        <f t="shared" si="6"/>
      </c>
    </row>
    <row r="87" ht="12.75">
      <c r="B87" s="85">
        <f t="shared" si="6"/>
      </c>
    </row>
    <row r="88" ht="12.75">
      <c r="B88" s="85">
        <f t="shared" si="6"/>
      </c>
    </row>
    <row r="89" ht="12.75">
      <c r="B89" s="85">
        <f t="shared" si="6"/>
      </c>
    </row>
    <row r="90" ht="12.75">
      <c r="B90" s="85">
        <f t="shared" si="6"/>
      </c>
    </row>
    <row r="91" ht="12.75">
      <c r="B91" s="85">
        <f t="shared" si="6"/>
      </c>
    </row>
    <row r="92" ht="12.75">
      <c r="B92" s="85">
        <f t="shared" si="6"/>
      </c>
    </row>
    <row r="93" ht="12.75">
      <c r="B93" s="85">
        <f t="shared" si="6"/>
      </c>
    </row>
    <row r="94" ht="12.75">
      <c r="B94" s="85">
        <f t="shared" si="6"/>
      </c>
    </row>
    <row r="95" ht="12.75">
      <c r="B95" s="85">
        <f t="shared" si="6"/>
      </c>
    </row>
    <row r="96" ht="12.75">
      <c r="B96" s="85">
        <f t="shared" si="6"/>
      </c>
    </row>
    <row r="97" ht="12.75">
      <c r="B97" s="85">
        <f t="shared" si="6"/>
      </c>
    </row>
    <row r="98" ht="12.75">
      <c r="B98" s="85">
        <f t="shared" si="6"/>
      </c>
    </row>
    <row r="99" ht="12.75">
      <c r="B99" s="85">
        <f t="shared" si="6"/>
      </c>
    </row>
    <row r="100" ht="12.75">
      <c r="B100" s="85">
        <f t="shared" si="6"/>
      </c>
    </row>
    <row r="101" ht="12.75">
      <c r="B101" s="85">
        <f t="shared" si="6"/>
      </c>
    </row>
    <row r="102" ht="12.75">
      <c r="B102" s="85">
        <f t="shared" si="6"/>
      </c>
    </row>
    <row r="103" ht="12.75">
      <c r="B103" s="85">
        <f t="shared" si="6"/>
      </c>
    </row>
    <row r="104" ht="12.75">
      <c r="B104" s="85">
        <f t="shared" si="6"/>
      </c>
    </row>
    <row r="105" ht="12.75">
      <c r="B105" s="85">
        <f t="shared" si="6"/>
      </c>
    </row>
    <row r="106" ht="12.75">
      <c r="B106" s="85">
        <f t="shared" si="6"/>
      </c>
    </row>
    <row r="107" ht="12.75">
      <c r="B107" s="85">
        <f t="shared" si="6"/>
      </c>
    </row>
    <row r="108" ht="12.75">
      <c r="B108" s="85">
        <f t="shared" si="6"/>
      </c>
    </row>
    <row r="109" ht="12.75">
      <c r="B109" s="85">
        <f t="shared" si="6"/>
      </c>
    </row>
    <row r="110" ht="12.75">
      <c r="B110" s="85">
        <f t="shared" si="6"/>
      </c>
    </row>
    <row r="111" ht="12.75">
      <c r="B111" s="85">
        <f t="shared" si="6"/>
      </c>
    </row>
    <row r="112" ht="12.75">
      <c r="B112" s="85">
        <f t="shared" si="6"/>
      </c>
    </row>
    <row r="113" ht="12.75">
      <c r="B113" s="85">
        <f t="shared" si="6"/>
      </c>
    </row>
    <row r="114" ht="12.75">
      <c r="B114" s="85">
        <f t="shared" si="6"/>
      </c>
    </row>
    <row r="115" ht="12.75">
      <c r="B115" s="85">
        <f t="shared" si="6"/>
      </c>
    </row>
    <row r="116" ht="12.75">
      <c r="B116" s="85">
        <f t="shared" si="6"/>
      </c>
    </row>
    <row r="117" ht="12.75">
      <c r="B117" s="85">
        <f t="shared" si="6"/>
      </c>
    </row>
    <row r="118" ht="12.75">
      <c r="B118" s="85">
        <f t="shared" si="6"/>
      </c>
    </row>
    <row r="119" ht="12.75">
      <c r="B119" s="85">
        <f t="shared" si="6"/>
      </c>
    </row>
    <row r="120" ht="12.75">
      <c r="B120" s="85">
        <f t="shared" si="6"/>
      </c>
    </row>
    <row r="121" ht="12.75">
      <c r="B121" s="85">
        <f t="shared" si="6"/>
      </c>
    </row>
    <row r="122" ht="12.75">
      <c r="B122" s="85">
        <f t="shared" si="6"/>
      </c>
    </row>
    <row r="123" ht="12.75">
      <c r="B123" s="85">
        <f t="shared" si="6"/>
      </c>
    </row>
    <row r="124" ht="12.75">
      <c r="B124" s="85">
        <f t="shared" si="6"/>
      </c>
    </row>
    <row r="125" ht="12.75">
      <c r="B125" s="85">
        <f t="shared" si="6"/>
      </c>
    </row>
    <row r="126" ht="12.75">
      <c r="B126" s="85">
        <f t="shared" si="6"/>
      </c>
    </row>
    <row r="127" ht="12.75">
      <c r="B127" s="85">
        <f t="shared" si="6"/>
      </c>
    </row>
    <row r="128" ht="12.75">
      <c r="B128" s="85">
        <f t="shared" si="6"/>
      </c>
    </row>
    <row r="129" ht="12.75">
      <c r="B129" s="85">
        <f t="shared" si="6"/>
      </c>
    </row>
    <row r="130" ht="12.75">
      <c r="B130" s="85">
        <f t="shared" si="6"/>
      </c>
    </row>
    <row r="131" ht="12.75">
      <c r="B131" s="85">
        <f t="shared" si="6"/>
      </c>
    </row>
    <row r="132" ht="12.75">
      <c r="B132" s="85">
        <f t="shared" si="6"/>
      </c>
    </row>
    <row r="133" ht="12.75">
      <c r="B133" s="85">
        <f t="shared" si="6"/>
      </c>
    </row>
    <row r="134" ht="12.75">
      <c r="B134" s="85">
        <f t="shared" si="6"/>
      </c>
    </row>
    <row r="135" ht="12.75">
      <c r="B135" s="85">
        <f t="shared" si="6"/>
      </c>
    </row>
    <row r="136" ht="12.75">
      <c r="B136" s="85">
        <f t="shared" si="6"/>
      </c>
    </row>
    <row r="137" ht="12.75">
      <c r="B137" s="85">
        <f t="shared" si="6"/>
      </c>
    </row>
    <row r="138" ht="12.75">
      <c r="B138" s="85">
        <f t="shared" si="6"/>
      </c>
    </row>
    <row r="139" ht="12.75">
      <c r="B139" s="85">
        <f t="shared" si="6"/>
      </c>
    </row>
    <row r="140" ht="12.75">
      <c r="B140" s="85">
        <f t="shared" si="6"/>
      </c>
    </row>
    <row r="141" ht="12.75">
      <c r="B141" s="85">
        <f t="shared" si="6"/>
      </c>
    </row>
    <row r="142" ht="12.75">
      <c r="B142" s="85">
        <f t="shared" si="6"/>
      </c>
    </row>
    <row r="143" ht="12.75">
      <c r="B143" s="85">
        <f aca="true" t="shared" si="7" ref="B143:B206">C143&amp;IF(D143=" ",IF(E143=" ",,E143),D143)&amp;IF(D143=" ",,IF(E143=" ",,E143))</f>
      </c>
    </row>
    <row r="144" ht="12.75">
      <c r="B144" s="85">
        <f t="shared" si="7"/>
      </c>
    </row>
    <row r="145" ht="12.75">
      <c r="B145" s="85">
        <f t="shared" si="7"/>
      </c>
    </row>
    <row r="146" ht="12.75">
      <c r="B146" s="85">
        <f t="shared" si="7"/>
      </c>
    </row>
    <row r="147" ht="12.75">
      <c r="B147" s="85">
        <f t="shared" si="7"/>
      </c>
    </row>
    <row r="148" ht="12.75">
      <c r="B148" s="85">
        <f t="shared" si="7"/>
      </c>
    </row>
    <row r="149" ht="12.75">
      <c r="B149" s="85">
        <f t="shared" si="7"/>
      </c>
    </row>
    <row r="150" ht="12.75">
      <c r="B150" s="85">
        <f t="shared" si="7"/>
      </c>
    </row>
    <row r="151" ht="12.75">
      <c r="B151" s="85">
        <f t="shared" si="7"/>
      </c>
    </row>
    <row r="152" ht="12.75">
      <c r="B152" s="85">
        <f t="shared" si="7"/>
      </c>
    </row>
    <row r="153" ht="12.75">
      <c r="B153" s="85">
        <f t="shared" si="7"/>
      </c>
    </row>
    <row r="154" ht="12.75">
      <c r="B154" s="85">
        <f t="shared" si="7"/>
      </c>
    </row>
    <row r="155" ht="12.75">
      <c r="B155" s="85">
        <f t="shared" si="7"/>
      </c>
    </row>
    <row r="156" ht="12.75">
      <c r="B156" s="85">
        <f t="shared" si="7"/>
      </c>
    </row>
    <row r="157" ht="12.75">
      <c r="B157" s="85">
        <f t="shared" si="7"/>
      </c>
    </row>
    <row r="158" ht="12.75">
      <c r="B158" s="85">
        <f t="shared" si="7"/>
      </c>
    </row>
    <row r="159" ht="12.75">
      <c r="B159" s="85">
        <f t="shared" si="7"/>
      </c>
    </row>
    <row r="160" ht="12.75">
      <c r="B160" s="85">
        <f t="shared" si="7"/>
      </c>
    </row>
    <row r="161" ht="12.75">
      <c r="B161" s="85">
        <f t="shared" si="7"/>
      </c>
    </row>
    <row r="162" ht="12.75">
      <c r="B162" s="85">
        <f t="shared" si="7"/>
      </c>
    </row>
    <row r="163" ht="12.75">
      <c r="B163" s="85">
        <f t="shared" si="7"/>
      </c>
    </row>
    <row r="164" ht="12.75">
      <c r="B164" s="85">
        <f t="shared" si="7"/>
      </c>
    </row>
    <row r="165" ht="12.75">
      <c r="B165" s="85">
        <f t="shared" si="7"/>
      </c>
    </row>
    <row r="166" ht="12.75">
      <c r="B166" s="85">
        <f t="shared" si="7"/>
      </c>
    </row>
    <row r="167" ht="12.75">
      <c r="B167" s="85">
        <f t="shared" si="7"/>
      </c>
    </row>
    <row r="168" ht="12.75">
      <c r="B168" s="85">
        <f t="shared" si="7"/>
      </c>
    </row>
    <row r="169" ht="12.75">
      <c r="B169" s="85">
        <f t="shared" si="7"/>
      </c>
    </row>
    <row r="170" ht="12.75">
      <c r="B170" s="85">
        <f t="shared" si="7"/>
      </c>
    </row>
    <row r="171" ht="12.75">
      <c r="B171" s="85">
        <f t="shared" si="7"/>
      </c>
    </row>
    <row r="172" ht="12.75">
      <c r="B172" s="85">
        <f t="shared" si="7"/>
      </c>
    </row>
    <row r="173" ht="12.75">
      <c r="B173" s="85">
        <f t="shared" si="7"/>
      </c>
    </row>
    <row r="174" ht="12.75">
      <c r="B174" s="85">
        <f t="shared" si="7"/>
      </c>
    </row>
    <row r="175" ht="12.75">
      <c r="B175" s="85">
        <f t="shared" si="7"/>
      </c>
    </row>
    <row r="176" ht="12.75">
      <c r="B176" s="85">
        <f t="shared" si="7"/>
      </c>
    </row>
    <row r="177" ht="12.75">
      <c r="B177" s="85">
        <f t="shared" si="7"/>
      </c>
    </row>
    <row r="178" ht="12.75">
      <c r="B178" s="85">
        <f t="shared" si="7"/>
      </c>
    </row>
    <row r="179" ht="12.75">
      <c r="B179" s="85">
        <f t="shared" si="7"/>
      </c>
    </row>
    <row r="180" ht="12.75">
      <c r="B180" s="85">
        <f t="shared" si="7"/>
      </c>
    </row>
    <row r="181" ht="12.75">
      <c r="B181" s="85">
        <f t="shared" si="7"/>
      </c>
    </row>
    <row r="182" ht="12.75">
      <c r="B182" s="85">
        <f t="shared" si="7"/>
      </c>
    </row>
    <row r="183" ht="12.75">
      <c r="B183" s="85">
        <f t="shared" si="7"/>
      </c>
    </row>
    <row r="184" ht="12.75">
      <c r="B184" s="85">
        <f t="shared" si="7"/>
      </c>
    </row>
    <row r="185" ht="12.75">
      <c r="B185" s="85">
        <f t="shared" si="7"/>
      </c>
    </row>
    <row r="186" ht="12.75">
      <c r="B186" s="85">
        <f t="shared" si="7"/>
      </c>
    </row>
    <row r="187" ht="12.75">
      <c r="B187" s="85">
        <f t="shared" si="7"/>
      </c>
    </row>
    <row r="188" ht="12.75">
      <c r="B188" s="85">
        <f t="shared" si="7"/>
      </c>
    </row>
    <row r="189" ht="12.75">
      <c r="B189" s="85">
        <f t="shared" si="7"/>
      </c>
    </row>
    <row r="190" ht="12.75">
      <c r="B190" s="85">
        <f t="shared" si="7"/>
      </c>
    </row>
    <row r="191" ht="12.75">
      <c r="B191" s="85">
        <f t="shared" si="7"/>
      </c>
    </row>
    <row r="192" ht="12.75">
      <c r="B192" s="85">
        <f t="shared" si="7"/>
      </c>
    </row>
    <row r="193" ht="12.75">
      <c r="B193" s="85">
        <f t="shared" si="7"/>
      </c>
    </row>
    <row r="194" ht="12.75">
      <c r="B194" s="85">
        <f t="shared" si="7"/>
      </c>
    </row>
    <row r="195" ht="12.75">
      <c r="B195" s="85">
        <f t="shared" si="7"/>
      </c>
    </row>
    <row r="196" ht="12.75">
      <c r="B196" s="85">
        <f t="shared" si="7"/>
      </c>
    </row>
    <row r="197" ht="12.75">
      <c r="B197" s="85">
        <f t="shared" si="7"/>
      </c>
    </row>
    <row r="198" ht="12.75">
      <c r="B198" s="85">
        <f t="shared" si="7"/>
      </c>
    </row>
    <row r="199" ht="12.75">
      <c r="B199" s="85">
        <f t="shared" si="7"/>
      </c>
    </row>
    <row r="200" ht="12.75">
      <c r="B200" s="85">
        <f t="shared" si="7"/>
      </c>
    </row>
    <row r="201" ht="12.75">
      <c r="B201" s="85">
        <f t="shared" si="7"/>
      </c>
    </row>
    <row r="202" ht="12.75">
      <c r="B202" s="85">
        <f t="shared" si="7"/>
      </c>
    </row>
    <row r="203" ht="12.75">
      <c r="B203" s="85">
        <f t="shared" si="7"/>
      </c>
    </row>
    <row r="204" ht="12.75">
      <c r="B204" s="85">
        <f t="shared" si="7"/>
      </c>
    </row>
    <row r="205" ht="12.75">
      <c r="B205" s="85">
        <f t="shared" si="7"/>
      </c>
    </row>
    <row r="206" ht="12.75">
      <c r="B206" s="85">
        <f t="shared" si="7"/>
      </c>
    </row>
    <row r="207" ht="12.75">
      <c r="B207" s="85">
        <f aca="true" t="shared" si="8" ref="B207:B230">C207&amp;IF(D207=" ",IF(E207=" ",,E207),D207)&amp;IF(D207=" ",,IF(E207=" ",,E207))</f>
      </c>
    </row>
    <row r="208" ht="12.75">
      <c r="B208" s="85">
        <f t="shared" si="8"/>
      </c>
    </row>
    <row r="209" ht="12.75">
      <c r="B209" s="85">
        <f t="shared" si="8"/>
      </c>
    </row>
    <row r="210" ht="12.75">
      <c r="B210" s="85">
        <f t="shared" si="8"/>
      </c>
    </row>
    <row r="211" ht="12.75">
      <c r="B211" s="85">
        <f t="shared" si="8"/>
      </c>
    </row>
    <row r="212" ht="12.75">
      <c r="B212" s="85">
        <f t="shared" si="8"/>
      </c>
    </row>
    <row r="213" ht="12.75">
      <c r="B213" s="85">
        <f t="shared" si="8"/>
      </c>
    </row>
    <row r="214" ht="12.75">
      <c r="B214" s="85">
        <f t="shared" si="8"/>
      </c>
    </row>
    <row r="215" ht="12.75">
      <c r="B215" s="85">
        <f t="shared" si="8"/>
      </c>
    </row>
    <row r="216" ht="12.75">
      <c r="B216" s="85">
        <f t="shared" si="8"/>
      </c>
    </row>
    <row r="217" ht="12.75">
      <c r="B217" s="85">
        <f t="shared" si="8"/>
      </c>
    </row>
    <row r="218" ht="12.75">
      <c r="B218" s="85">
        <f t="shared" si="8"/>
      </c>
    </row>
    <row r="219" ht="12.75">
      <c r="B219" s="85">
        <f t="shared" si="8"/>
      </c>
    </row>
    <row r="220" ht="12.75">
      <c r="B220" s="85">
        <f t="shared" si="8"/>
      </c>
    </row>
    <row r="221" ht="12.75">
      <c r="B221" s="85">
        <f t="shared" si="8"/>
      </c>
    </row>
    <row r="222" ht="12.75">
      <c r="B222" s="85">
        <f t="shared" si="8"/>
      </c>
    </row>
    <row r="223" ht="12.75">
      <c r="B223" s="85">
        <f t="shared" si="8"/>
      </c>
    </row>
    <row r="224" ht="12.75">
      <c r="B224" s="85">
        <f t="shared" si="8"/>
      </c>
    </row>
    <row r="225" ht="12.75">
      <c r="B225" s="85">
        <f t="shared" si="8"/>
      </c>
    </row>
    <row r="226" ht="12.75">
      <c r="B226" s="85">
        <f t="shared" si="8"/>
      </c>
    </row>
    <row r="227" ht="12.75">
      <c r="B227" s="85">
        <f t="shared" si="8"/>
      </c>
    </row>
    <row r="228" ht="12.75">
      <c r="B228" s="85">
        <f t="shared" si="8"/>
      </c>
    </row>
    <row r="229" ht="12.75">
      <c r="B229" s="85">
        <f t="shared" si="8"/>
      </c>
    </row>
    <row r="230" ht="12.75">
      <c r="B230" s="85">
        <f t="shared" si="8"/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&amp;C&amp;f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2" width="9.140625" style="108" customWidth="1"/>
    <col min="3" max="3" width="13.57421875" style="121" customWidth="1"/>
    <col min="4" max="4" width="24.8515625" style="331" bestFit="1" customWidth="1"/>
    <col min="5" max="5" width="26.421875" style="331" bestFit="1" customWidth="1"/>
    <col min="6" max="6" width="12.140625" style="121" bestFit="1" customWidth="1"/>
    <col min="7" max="7" width="27.7109375" style="122" bestFit="1" customWidth="1"/>
    <col min="8" max="8" width="29.00390625" style="121" customWidth="1"/>
    <col min="9" max="16384" width="9.140625" style="108" customWidth="1"/>
  </cols>
  <sheetData>
    <row r="1" spans="1:8" ht="12.75">
      <c r="A1" s="104" t="s">
        <v>435</v>
      </c>
      <c r="B1" s="104" t="s">
        <v>436</v>
      </c>
      <c r="C1" s="105" t="s">
        <v>748</v>
      </c>
      <c r="D1" s="329" t="s">
        <v>733</v>
      </c>
      <c r="E1" s="329" t="s">
        <v>734</v>
      </c>
      <c r="F1" s="88" t="s">
        <v>402</v>
      </c>
      <c r="G1" s="106" t="s">
        <v>750</v>
      </c>
      <c r="H1" s="107" t="s">
        <v>732</v>
      </c>
    </row>
    <row r="2" spans="1:8" ht="12.75">
      <c r="A2" s="109" t="s">
        <v>437</v>
      </c>
      <c r="B2" s="110">
        <v>41</v>
      </c>
      <c r="C2" s="111">
        <v>0.8864942528735632</v>
      </c>
      <c r="D2" s="330">
        <v>8</v>
      </c>
      <c r="E2" s="330">
        <v>15</v>
      </c>
      <c r="F2" s="112">
        <f>D2/E2</f>
        <v>0.5333333333333333</v>
      </c>
      <c r="G2" s="113">
        <f aca="true" t="shared" si="0" ref="G2:G34">C2/F2</f>
        <v>1.662176724137931</v>
      </c>
      <c r="H2" s="108"/>
    </row>
    <row r="3" spans="1:8" ht="12.75">
      <c r="A3" s="109" t="s">
        <v>438</v>
      </c>
      <c r="B3" s="110">
        <v>255</v>
      </c>
      <c r="C3" s="111">
        <v>0.8017241379310345</v>
      </c>
      <c r="D3" s="330">
        <v>15</v>
      </c>
      <c r="E3" s="330">
        <v>30</v>
      </c>
      <c r="F3" s="112">
        <f aca="true" t="shared" si="1" ref="F3:F10">D3/E3</f>
        <v>0.5</v>
      </c>
      <c r="G3" s="113">
        <f t="shared" si="0"/>
        <v>1.603448275862069</v>
      </c>
      <c r="H3" s="112"/>
    </row>
    <row r="4" spans="1:8" ht="12.75">
      <c r="A4" s="109" t="s">
        <v>439</v>
      </c>
      <c r="B4" s="110">
        <v>120</v>
      </c>
      <c r="C4" s="111">
        <v>0.7425287356321839</v>
      </c>
      <c r="D4" s="330">
        <v>8</v>
      </c>
      <c r="E4" s="330">
        <v>15</v>
      </c>
      <c r="F4" s="112">
        <f t="shared" si="1"/>
        <v>0.5333333333333333</v>
      </c>
      <c r="G4" s="113">
        <f t="shared" si="0"/>
        <v>1.3922413793103448</v>
      </c>
      <c r="H4" s="112"/>
    </row>
    <row r="5" spans="1:8" ht="12.75">
      <c r="A5" s="109" t="s">
        <v>440</v>
      </c>
      <c r="B5" s="110">
        <v>36</v>
      </c>
      <c r="C5" s="111">
        <v>0.6170431211498973</v>
      </c>
      <c r="D5" s="330">
        <v>7</v>
      </c>
      <c r="E5" s="330">
        <v>15</v>
      </c>
      <c r="F5" s="112">
        <f t="shared" si="1"/>
        <v>0.4666666666666667</v>
      </c>
      <c r="G5" s="113">
        <f t="shared" si="0"/>
        <v>1.322235259606923</v>
      </c>
      <c r="H5" s="112"/>
    </row>
    <row r="6" spans="1:8" ht="12.75">
      <c r="A6" s="361" t="s">
        <v>441</v>
      </c>
      <c r="B6" s="362">
        <v>4</v>
      </c>
      <c r="C6" s="363">
        <v>0.8690476190476191</v>
      </c>
      <c r="D6" s="330">
        <v>20</v>
      </c>
      <c r="E6" s="330">
        <v>30</v>
      </c>
      <c r="F6" s="112">
        <f t="shared" si="1"/>
        <v>0.6666666666666666</v>
      </c>
      <c r="G6" s="113">
        <f t="shared" si="0"/>
        <v>1.3035714285714286</v>
      </c>
      <c r="H6" s="112"/>
    </row>
    <row r="7" spans="1:8" ht="12.75">
      <c r="A7" s="117" t="s">
        <v>442</v>
      </c>
      <c r="B7" s="118">
        <v>358</v>
      </c>
      <c r="C7" s="112">
        <v>0.690625</v>
      </c>
      <c r="D7" s="330">
        <v>8</v>
      </c>
      <c r="E7" s="330">
        <v>15</v>
      </c>
      <c r="F7" s="112">
        <f t="shared" si="1"/>
        <v>0.5333333333333333</v>
      </c>
      <c r="G7" s="113">
        <f t="shared" si="0"/>
        <v>1.294921875</v>
      </c>
      <c r="H7" s="112"/>
    </row>
    <row r="8" spans="1:8" ht="12.75">
      <c r="A8" s="117" t="s">
        <v>443</v>
      </c>
      <c r="B8" s="118">
        <v>125</v>
      </c>
      <c r="C8" s="112">
        <v>0.6</v>
      </c>
      <c r="D8" s="330">
        <v>15</v>
      </c>
      <c r="E8" s="330">
        <v>30</v>
      </c>
      <c r="F8" s="112">
        <f t="shared" si="1"/>
        <v>0.5</v>
      </c>
      <c r="G8" s="113">
        <f t="shared" si="0"/>
        <v>1.2</v>
      </c>
      <c r="H8" s="112"/>
    </row>
    <row r="9" spans="1:8" ht="12.75">
      <c r="A9" s="117" t="s">
        <v>444</v>
      </c>
      <c r="B9" s="118">
        <v>4</v>
      </c>
      <c r="C9" s="112">
        <v>0.7857142857142857</v>
      </c>
      <c r="D9" s="330">
        <v>20</v>
      </c>
      <c r="E9" s="330">
        <v>30</v>
      </c>
      <c r="F9" s="112">
        <f t="shared" si="1"/>
        <v>0.6666666666666666</v>
      </c>
      <c r="G9" s="113">
        <f t="shared" si="0"/>
        <v>1.1785714285714286</v>
      </c>
      <c r="H9" s="112"/>
    </row>
    <row r="10" spans="1:8" ht="12.75">
      <c r="A10" s="117" t="s">
        <v>445</v>
      </c>
      <c r="B10" s="118">
        <v>3</v>
      </c>
      <c r="C10" s="112">
        <v>0.7817460317460317</v>
      </c>
      <c r="D10" s="330">
        <v>20</v>
      </c>
      <c r="E10" s="330">
        <v>30</v>
      </c>
      <c r="F10" s="112">
        <f t="shared" si="1"/>
        <v>0.6666666666666666</v>
      </c>
      <c r="G10" s="113">
        <f t="shared" si="0"/>
        <v>1.1726190476190477</v>
      </c>
      <c r="H10" s="112"/>
    </row>
    <row r="11" spans="1:8" ht="12.75">
      <c r="A11" s="117" t="s">
        <v>446</v>
      </c>
      <c r="B11" s="118">
        <v>101</v>
      </c>
      <c r="C11" s="112">
        <v>0.7213740458015268</v>
      </c>
      <c r="D11" s="330">
        <v>8</v>
      </c>
      <c r="E11" s="330">
        <v>15</v>
      </c>
      <c r="F11" s="112">
        <f>D11/E11</f>
        <v>0.5333333333333333</v>
      </c>
      <c r="G11" s="113">
        <f t="shared" si="0"/>
        <v>1.3525763358778626</v>
      </c>
      <c r="H11" s="112"/>
    </row>
    <row r="12" spans="1:8" ht="12.75">
      <c r="A12" s="364" t="s">
        <v>612</v>
      </c>
      <c r="B12" s="118">
        <v>271</v>
      </c>
      <c r="C12" s="112">
        <v>0.5333333333333333</v>
      </c>
      <c r="D12" s="330">
        <v>10</v>
      </c>
      <c r="E12" s="330">
        <v>30</v>
      </c>
      <c r="F12" s="112">
        <f aca="true" t="shared" si="2" ref="F12:F21">D12/E12</f>
        <v>0.3333333333333333</v>
      </c>
      <c r="G12" s="113">
        <f>(C12/F12)/3</f>
        <v>0.5333333333333333</v>
      </c>
      <c r="H12" s="213" t="s">
        <v>614</v>
      </c>
    </row>
    <row r="13" spans="1:8" ht="12.75">
      <c r="A13" s="117" t="s">
        <v>447</v>
      </c>
      <c r="B13" s="118">
        <v>271</v>
      </c>
      <c r="C13" s="112">
        <v>0.5333333333333333</v>
      </c>
      <c r="D13" s="330">
        <v>10</v>
      </c>
      <c r="E13" s="330">
        <v>30</v>
      </c>
      <c r="F13" s="112">
        <f t="shared" si="2"/>
        <v>0.3333333333333333</v>
      </c>
      <c r="G13" s="113">
        <f t="shared" si="0"/>
        <v>1.6</v>
      </c>
      <c r="H13" s="112"/>
    </row>
    <row r="14" spans="1:8" ht="12.75">
      <c r="A14" s="117" t="s">
        <v>448</v>
      </c>
      <c r="B14" s="118">
        <v>16</v>
      </c>
      <c r="C14" s="112">
        <v>0.7041420118343196</v>
      </c>
      <c r="D14" s="330">
        <v>20</v>
      </c>
      <c r="E14" s="330">
        <v>30</v>
      </c>
      <c r="F14" s="112">
        <f t="shared" si="2"/>
        <v>0.6666666666666666</v>
      </c>
      <c r="G14" s="113">
        <f t="shared" si="0"/>
        <v>1.0562130177514795</v>
      </c>
      <c r="H14" s="112"/>
    </row>
    <row r="15" spans="1:8" ht="12.75">
      <c r="A15" s="117" t="s">
        <v>449</v>
      </c>
      <c r="B15" s="118">
        <v>372</v>
      </c>
      <c r="C15" s="112">
        <v>0.6904761904761905</v>
      </c>
      <c r="D15" s="330">
        <v>8</v>
      </c>
      <c r="E15" s="330">
        <v>60</v>
      </c>
      <c r="F15" s="112">
        <f t="shared" si="2"/>
        <v>0.13333333333333333</v>
      </c>
      <c r="G15" s="113">
        <f t="shared" si="0"/>
        <v>5.178571428571429</v>
      </c>
      <c r="H15" s="112"/>
    </row>
    <row r="16" spans="1:8" ht="12.75">
      <c r="A16" s="117" t="s">
        <v>450</v>
      </c>
      <c r="B16" s="118">
        <v>234</v>
      </c>
      <c r="C16" s="112">
        <v>0.5133333333333333</v>
      </c>
      <c r="D16" s="330">
        <v>30</v>
      </c>
      <c r="E16" s="330">
        <v>60</v>
      </c>
      <c r="F16" s="112">
        <f t="shared" si="2"/>
        <v>0.5</v>
      </c>
      <c r="G16" s="113">
        <f>C16/F16</f>
        <v>1.0266666666666666</v>
      </c>
      <c r="H16" s="112"/>
    </row>
    <row r="17" spans="1:8" ht="12.75">
      <c r="A17" s="117" t="s">
        <v>451</v>
      </c>
      <c r="B17" s="118">
        <v>3</v>
      </c>
      <c r="C17" s="112">
        <v>0.6666666666666666</v>
      </c>
      <c r="D17" s="330">
        <v>20</v>
      </c>
      <c r="E17" s="330">
        <v>30</v>
      </c>
      <c r="F17" s="112">
        <f t="shared" si="2"/>
        <v>0.6666666666666666</v>
      </c>
      <c r="G17" s="113">
        <f t="shared" si="0"/>
        <v>1</v>
      </c>
      <c r="H17" s="112"/>
    </row>
    <row r="18" spans="1:8" ht="12.75">
      <c r="A18" s="117" t="s">
        <v>452</v>
      </c>
      <c r="B18" s="118">
        <v>44</v>
      </c>
      <c r="C18" s="112">
        <v>0.7892503536067893</v>
      </c>
      <c r="D18" s="330">
        <v>10</v>
      </c>
      <c r="E18" s="330">
        <v>15</v>
      </c>
      <c r="F18" s="112">
        <f t="shared" si="2"/>
        <v>0.6666666666666666</v>
      </c>
      <c r="G18" s="113">
        <f t="shared" si="0"/>
        <v>1.183875530410184</v>
      </c>
      <c r="H18" s="108"/>
    </row>
    <row r="19" spans="1:8" ht="12.75">
      <c r="A19" s="117" t="s">
        <v>453</v>
      </c>
      <c r="B19" s="118">
        <v>48</v>
      </c>
      <c r="C19" s="112">
        <v>0.6524122807017544</v>
      </c>
      <c r="D19" s="330">
        <v>10</v>
      </c>
      <c r="E19" s="330">
        <v>30</v>
      </c>
      <c r="F19" s="112">
        <f t="shared" si="2"/>
        <v>0.3333333333333333</v>
      </c>
      <c r="G19" s="113">
        <f t="shared" si="0"/>
        <v>1.9572368421052633</v>
      </c>
      <c r="H19" s="112"/>
    </row>
    <row r="20" spans="1:8" ht="12.75">
      <c r="A20" s="117" t="s">
        <v>454</v>
      </c>
      <c r="B20" s="118">
        <v>54</v>
      </c>
      <c r="C20" s="112">
        <v>0.6304347826086957</v>
      </c>
      <c r="D20" s="330">
        <v>20</v>
      </c>
      <c r="E20" s="330">
        <v>30</v>
      </c>
      <c r="F20" s="112">
        <f t="shared" si="2"/>
        <v>0.6666666666666666</v>
      </c>
      <c r="G20" s="113">
        <f t="shared" si="0"/>
        <v>0.9456521739130436</v>
      </c>
      <c r="H20" s="112"/>
    </row>
    <row r="21" spans="1:8" ht="12.75">
      <c r="A21" s="117" t="s">
        <v>455</v>
      </c>
      <c r="B21" s="118">
        <v>106</v>
      </c>
      <c r="C21" s="112">
        <v>0.46695402298850575</v>
      </c>
      <c r="D21" s="330">
        <v>15</v>
      </c>
      <c r="E21" s="330">
        <v>30</v>
      </c>
      <c r="F21" s="112">
        <f t="shared" si="2"/>
        <v>0.5</v>
      </c>
      <c r="G21" s="113">
        <f t="shared" si="0"/>
        <v>0.9339080459770115</v>
      </c>
      <c r="H21" s="112"/>
    </row>
    <row r="22" spans="1:8" ht="12.75">
      <c r="A22" s="117" t="s">
        <v>456</v>
      </c>
      <c r="B22" s="118">
        <v>18</v>
      </c>
      <c r="C22" s="112">
        <v>0.6170212765957447</v>
      </c>
      <c r="D22" s="330"/>
      <c r="E22" s="330"/>
      <c r="F22" s="112">
        <f>20/20</f>
        <v>1</v>
      </c>
      <c r="G22" s="113">
        <f t="shared" si="0"/>
        <v>0.6170212765957447</v>
      </c>
      <c r="H22" s="112"/>
    </row>
    <row r="23" spans="1:8" ht="12.75">
      <c r="A23" s="117" t="s">
        <v>457</v>
      </c>
      <c r="B23" s="118">
        <v>48</v>
      </c>
      <c r="C23" s="112">
        <v>0.6088154269972452</v>
      </c>
      <c r="D23" s="330">
        <v>10</v>
      </c>
      <c r="E23" s="330">
        <v>15</v>
      </c>
      <c r="F23" s="112">
        <f>D23/E23</f>
        <v>0.6666666666666666</v>
      </c>
      <c r="G23" s="113">
        <f t="shared" si="0"/>
        <v>0.9132231404958678</v>
      </c>
      <c r="H23" s="112"/>
    </row>
    <row r="24" spans="1:8" ht="12.75">
      <c r="A24" s="117" t="s">
        <v>458</v>
      </c>
      <c r="B24" s="118">
        <v>2</v>
      </c>
      <c r="C24" s="112">
        <v>0.6011904761904762</v>
      </c>
      <c r="D24" s="330">
        <v>10</v>
      </c>
      <c r="E24" s="330">
        <v>15</v>
      </c>
      <c r="F24" s="112">
        <f>D24/E24</f>
        <v>0.6666666666666666</v>
      </c>
      <c r="G24" s="113">
        <f t="shared" si="0"/>
        <v>0.9017857142857143</v>
      </c>
      <c r="H24" s="112"/>
    </row>
    <row r="25" spans="1:8" ht="12.75">
      <c r="A25" s="117" t="s">
        <v>459</v>
      </c>
      <c r="B25" s="118">
        <v>10</v>
      </c>
      <c r="C25" s="112">
        <v>0.6003401360544217</v>
      </c>
      <c r="D25" s="330">
        <v>10</v>
      </c>
      <c r="E25" s="330">
        <v>15</v>
      </c>
      <c r="F25" s="112">
        <f>D25/E25</f>
        <v>0.6666666666666666</v>
      </c>
      <c r="G25" s="113">
        <f t="shared" si="0"/>
        <v>0.9005102040816326</v>
      </c>
      <c r="H25" s="112"/>
    </row>
    <row r="26" spans="1:8" ht="12.75">
      <c r="A26" s="117" t="s">
        <v>460</v>
      </c>
      <c r="B26" s="118">
        <v>7</v>
      </c>
      <c r="C26" s="112">
        <v>0.555672268907563</v>
      </c>
      <c r="D26" s="330">
        <v>10</v>
      </c>
      <c r="E26" s="330">
        <v>15</v>
      </c>
      <c r="F26" s="112">
        <f>D26/E26</f>
        <v>0.6666666666666666</v>
      </c>
      <c r="G26" s="113">
        <f t="shared" si="0"/>
        <v>0.8335084033613446</v>
      </c>
      <c r="H26" s="112"/>
    </row>
    <row r="27" spans="1:8" ht="12.75">
      <c r="A27" s="117" t="s">
        <v>461</v>
      </c>
      <c r="B27" s="118">
        <v>15</v>
      </c>
      <c r="C27" s="112">
        <v>0.5337078651685393</v>
      </c>
      <c r="D27" s="330"/>
      <c r="E27" s="330"/>
      <c r="F27" s="112">
        <v>1</v>
      </c>
      <c r="G27" s="113">
        <f t="shared" si="0"/>
        <v>0.5337078651685393</v>
      </c>
      <c r="H27" s="112"/>
    </row>
    <row r="28" spans="1:8" ht="12.75">
      <c r="A28" s="117" t="s">
        <v>462</v>
      </c>
      <c r="B28" s="118">
        <v>12</v>
      </c>
      <c r="C28" s="112">
        <v>0.5238095238095238</v>
      </c>
      <c r="D28" s="330">
        <v>10</v>
      </c>
      <c r="E28" s="330">
        <v>15</v>
      </c>
      <c r="F28" s="112">
        <f>D28/E28</f>
        <v>0.6666666666666666</v>
      </c>
      <c r="G28" s="113">
        <f t="shared" si="0"/>
        <v>0.7857142857142858</v>
      </c>
      <c r="H28" s="112"/>
    </row>
    <row r="29" spans="1:8" ht="12.75">
      <c r="A29" s="117" t="s">
        <v>463</v>
      </c>
      <c r="B29" s="118">
        <v>5</v>
      </c>
      <c r="C29" s="112">
        <v>0.7849462365591398</v>
      </c>
      <c r="D29" s="330"/>
      <c r="E29" s="330"/>
      <c r="F29" s="112">
        <v>1</v>
      </c>
      <c r="G29" s="113">
        <f t="shared" si="0"/>
        <v>0.7849462365591398</v>
      </c>
      <c r="H29" s="112"/>
    </row>
    <row r="30" spans="1:8" ht="12.75">
      <c r="A30" s="117" t="s">
        <v>464</v>
      </c>
      <c r="B30" s="118">
        <v>66</v>
      </c>
      <c r="C30" s="112">
        <v>0.7777777777777778</v>
      </c>
      <c r="D30" s="330"/>
      <c r="E30" s="330"/>
      <c r="F30" s="112">
        <v>1</v>
      </c>
      <c r="G30" s="113">
        <f t="shared" si="0"/>
        <v>0.7777777777777778</v>
      </c>
      <c r="H30" s="112"/>
    </row>
    <row r="31" spans="1:8" ht="12.75">
      <c r="A31" s="117" t="s">
        <v>387</v>
      </c>
      <c r="B31" s="118">
        <v>73</v>
      </c>
      <c r="C31" s="112">
        <v>0.7629310344827587</v>
      </c>
      <c r="D31" s="330">
        <v>8</v>
      </c>
      <c r="E31" s="330">
        <v>30</v>
      </c>
      <c r="F31" s="112">
        <f>D31/E31</f>
        <v>0.26666666666666666</v>
      </c>
      <c r="G31" s="113">
        <f t="shared" si="0"/>
        <v>2.860991379310345</v>
      </c>
      <c r="H31" s="112"/>
    </row>
    <row r="32" spans="1:8" ht="12.75">
      <c r="A32" s="117" t="s">
        <v>379</v>
      </c>
      <c r="B32" s="118">
        <v>9</v>
      </c>
      <c r="C32" s="112">
        <v>0.7528089887640449</v>
      </c>
      <c r="D32" s="330">
        <v>15</v>
      </c>
      <c r="E32" s="330">
        <v>30</v>
      </c>
      <c r="F32" s="112">
        <f>D32/E32</f>
        <v>0.5</v>
      </c>
      <c r="G32" s="113">
        <f t="shared" si="0"/>
        <v>1.5056179775280898</v>
      </c>
      <c r="H32" s="112"/>
    </row>
    <row r="33" spans="1:8" ht="12.75">
      <c r="A33" s="117" t="s">
        <v>465</v>
      </c>
      <c r="B33" s="118">
        <v>72</v>
      </c>
      <c r="C33" s="112">
        <v>0.7448275862068966</v>
      </c>
      <c r="D33" s="330">
        <v>30</v>
      </c>
      <c r="E33" s="330">
        <v>30</v>
      </c>
      <c r="F33" s="112">
        <f>D33/E33</f>
        <v>1</v>
      </c>
      <c r="G33" s="113">
        <f t="shared" si="0"/>
        <v>0.7448275862068966</v>
      </c>
      <c r="H33" s="112"/>
    </row>
    <row r="34" spans="1:8" ht="12.75">
      <c r="A34" s="117">
        <v>373</v>
      </c>
      <c r="B34" s="118">
        <v>373</v>
      </c>
      <c r="C34" s="112">
        <v>0.76</v>
      </c>
      <c r="D34" s="330">
        <v>15</v>
      </c>
      <c r="E34" s="330">
        <v>60</v>
      </c>
      <c r="F34" s="112">
        <f>D34/E34</f>
        <v>0.25</v>
      </c>
      <c r="G34" s="113">
        <f t="shared" si="0"/>
        <v>3.04</v>
      </c>
      <c r="H34" s="112"/>
    </row>
    <row r="35" spans="1:8" ht="12.75">
      <c r="A35" s="117" t="s">
        <v>466</v>
      </c>
      <c r="B35" s="118">
        <v>248</v>
      </c>
      <c r="C35" s="112">
        <v>0.37222222222222223</v>
      </c>
      <c r="D35" s="330"/>
      <c r="E35" s="330"/>
      <c r="F35" s="112">
        <f>30/30</f>
        <v>1</v>
      </c>
      <c r="G35" s="113">
        <f aca="true" t="shared" si="3" ref="G35:G68">C35/F35</f>
        <v>0.37222222222222223</v>
      </c>
      <c r="H35" s="112"/>
    </row>
    <row r="36" spans="1:8" ht="12.75">
      <c r="A36" s="117" t="s">
        <v>467</v>
      </c>
      <c r="B36" s="118">
        <v>17</v>
      </c>
      <c r="C36" s="112">
        <v>0.7222222222222222</v>
      </c>
      <c r="D36" s="330">
        <v>8</v>
      </c>
      <c r="E36" s="330">
        <v>60</v>
      </c>
      <c r="F36" s="112">
        <f>D36/E36</f>
        <v>0.13333333333333333</v>
      </c>
      <c r="G36" s="113">
        <f t="shared" si="3"/>
        <v>5.416666666666667</v>
      </c>
      <c r="H36" s="112"/>
    </row>
    <row r="37" spans="1:8" ht="12.75">
      <c r="A37" s="117" t="s">
        <v>468</v>
      </c>
      <c r="B37" s="118">
        <v>222</v>
      </c>
      <c r="C37" s="112">
        <v>0.36</v>
      </c>
      <c r="D37" s="330">
        <v>30</v>
      </c>
      <c r="E37" s="330">
        <v>60</v>
      </c>
      <c r="F37" s="112">
        <f>D37/E37</f>
        <v>0.5</v>
      </c>
      <c r="G37" s="113">
        <f t="shared" si="3"/>
        <v>0.72</v>
      </c>
      <c r="H37" s="112"/>
    </row>
    <row r="38" spans="1:8" ht="12.75">
      <c r="A38" s="117" t="s">
        <v>469</v>
      </c>
      <c r="B38" s="118">
        <v>26</v>
      </c>
      <c r="C38" s="112">
        <v>0.478515625</v>
      </c>
      <c r="D38" s="330">
        <v>20</v>
      </c>
      <c r="E38" s="330">
        <v>30</v>
      </c>
      <c r="F38" s="112">
        <f>D38/E38</f>
        <v>0.6666666666666666</v>
      </c>
      <c r="G38" s="113">
        <f t="shared" si="3"/>
        <v>0.7177734375</v>
      </c>
      <c r="H38" s="112"/>
    </row>
    <row r="39" spans="1:8" ht="12.75">
      <c r="A39" s="117" t="s">
        <v>470</v>
      </c>
      <c r="B39" s="118">
        <v>3</v>
      </c>
      <c r="C39" s="112">
        <v>0.7142857142857143</v>
      </c>
      <c r="D39" s="330"/>
      <c r="E39" s="330"/>
      <c r="F39" s="112">
        <v>1</v>
      </c>
      <c r="G39" s="113">
        <f t="shared" si="3"/>
        <v>0.7142857142857143</v>
      </c>
      <c r="H39" s="112"/>
    </row>
    <row r="40" spans="1:8" ht="12.75">
      <c r="A40" s="117" t="s">
        <v>471</v>
      </c>
      <c r="B40" s="118">
        <v>75</v>
      </c>
      <c r="C40" s="112">
        <v>0.7128378378378378</v>
      </c>
      <c r="D40" s="330"/>
      <c r="E40" s="330"/>
      <c r="F40" s="112">
        <v>1</v>
      </c>
      <c r="G40" s="113">
        <f t="shared" si="3"/>
        <v>0.7128378378378378</v>
      </c>
      <c r="H40" s="112"/>
    </row>
    <row r="41" spans="1:8" ht="12.75">
      <c r="A41" s="117" t="s">
        <v>472</v>
      </c>
      <c r="B41" s="118">
        <v>1</v>
      </c>
      <c r="C41" s="112">
        <v>0.6904761904761905</v>
      </c>
      <c r="D41" s="330"/>
      <c r="E41" s="330"/>
      <c r="F41" s="112">
        <v>1</v>
      </c>
      <c r="G41" s="113">
        <f t="shared" si="3"/>
        <v>0.6904761904761905</v>
      </c>
      <c r="H41" s="112"/>
    </row>
    <row r="42" spans="1:8" ht="12.75">
      <c r="A42" s="117" t="s">
        <v>389</v>
      </c>
      <c r="B42" s="118">
        <v>68</v>
      </c>
      <c r="C42" s="112">
        <v>0.6904761904761905</v>
      </c>
      <c r="D42" s="330">
        <v>15</v>
      </c>
      <c r="E42" s="330">
        <v>30</v>
      </c>
      <c r="F42" s="112">
        <f>D42/E42</f>
        <v>0.5</v>
      </c>
      <c r="G42" s="113">
        <f t="shared" si="3"/>
        <v>1.380952380952381</v>
      </c>
      <c r="H42" s="112"/>
    </row>
    <row r="43" spans="1:8" ht="12.75">
      <c r="A43" s="117" t="s">
        <v>473</v>
      </c>
      <c r="B43" s="118">
        <v>70</v>
      </c>
      <c r="C43" s="112">
        <v>0.6904761904761905</v>
      </c>
      <c r="D43" s="330"/>
      <c r="E43" s="330"/>
      <c r="F43" s="112">
        <v>1</v>
      </c>
      <c r="G43" s="113">
        <f t="shared" si="3"/>
        <v>0.6904761904761905</v>
      </c>
      <c r="H43" s="112"/>
    </row>
    <row r="44" spans="1:8" ht="12.75">
      <c r="A44" s="117" t="s">
        <v>474</v>
      </c>
      <c r="B44" s="118">
        <v>33</v>
      </c>
      <c r="C44" s="112">
        <v>0.6843434343434344</v>
      </c>
      <c r="D44" s="330">
        <v>15</v>
      </c>
      <c r="E44" s="330">
        <v>30</v>
      </c>
      <c r="F44" s="112">
        <f>D44/E44</f>
        <v>0.5</v>
      </c>
      <c r="G44" s="113">
        <f t="shared" si="3"/>
        <v>1.3686868686868687</v>
      </c>
      <c r="H44" s="112"/>
    </row>
    <row r="45" spans="1:8" ht="12.75">
      <c r="A45" s="117" t="s">
        <v>382</v>
      </c>
      <c r="B45" s="118">
        <v>233</v>
      </c>
      <c r="C45" s="112">
        <v>0.34</v>
      </c>
      <c r="D45" s="330">
        <v>30</v>
      </c>
      <c r="E45" s="330">
        <v>60</v>
      </c>
      <c r="F45" s="112">
        <f>D45/E45</f>
        <v>0.5</v>
      </c>
      <c r="G45" s="113">
        <f t="shared" si="3"/>
        <v>0.68</v>
      </c>
      <c r="H45" s="112"/>
    </row>
    <row r="46" spans="1:8" ht="12.75">
      <c r="A46" s="114" t="s">
        <v>388</v>
      </c>
      <c r="B46" s="115">
        <v>71</v>
      </c>
      <c r="C46" s="116">
        <v>0.6793103448275862</v>
      </c>
      <c r="D46" s="330">
        <v>8</v>
      </c>
      <c r="E46" s="330">
        <v>30</v>
      </c>
      <c r="F46" s="112">
        <f>D46/E46</f>
        <v>0.26666666666666666</v>
      </c>
      <c r="G46" s="113">
        <f t="shared" si="3"/>
        <v>2.5474137931034484</v>
      </c>
      <c r="H46" s="112"/>
    </row>
    <row r="47" spans="1:8" ht="12.75">
      <c r="A47" s="119" t="s">
        <v>603</v>
      </c>
      <c r="B47" s="110">
        <v>71</v>
      </c>
      <c r="C47" s="111">
        <v>0.6793103448275862</v>
      </c>
      <c r="D47" s="331">
        <v>20</v>
      </c>
      <c r="E47" s="330">
        <v>30</v>
      </c>
      <c r="F47" s="112">
        <f>D47/E47</f>
        <v>0.6666666666666666</v>
      </c>
      <c r="G47" s="113">
        <f>C47*F47</f>
        <v>0.4528735632183908</v>
      </c>
      <c r="H47" s="327" t="s">
        <v>604</v>
      </c>
    </row>
    <row r="48" spans="1:8" ht="12.75">
      <c r="A48" s="109" t="s">
        <v>475</v>
      </c>
      <c r="B48" s="110">
        <v>55</v>
      </c>
      <c r="C48" s="111">
        <v>0.6704545454545454</v>
      </c>
      <c r="D48" s="330"/>
      <c r="E48" s="330"/>
      <c r="F48" s="112">
        <v>1</v>
      </c>
      <c r="G48" s="113">
        <f t="shared" si="3"/>
        <v>0.6704545454545454</v>
      </c>
      <c r="H48" s="112"/>
    </row>
    <row r="49" spans="1:8" ht="12.75">
      <c r="A49" s="119" t="s">
        <v>476</v>
      </c>
      <c r="B49" s="110">
        <v>60</v>
      </c>
      <c r="C49" s="111">
        <v>0.889795918367347</v>
      </c>
      <c r="D49" s="330">
        <v>20</v>
      </c>
      <c r="E49" s="330">
        <v>15</v>
      </c>
      <c r="F49" s="112">
        <f>D49/E49</f>
        <v>1.3333333333333333</v>
      </c>
      <c r="G49" s="113">
        <f t="shared" si="3"/>
        <v>0.6673469387755102</v>
      </c>
      <c r="H49" s="112"/>
    </row>
    <row r="50" spans="1:8" ht="12.75">
      <c r="A50" s="109" t="s">
        <v>477</v>
      </c>
      <c r="B50" s="110">
        <v>31</v>
      </c>
      <c r="C50" s="111">
        <v>0.6517857142857143</v>
      </c>
      <c r="D50" s="330"/>
      <c r="E50" s="330"/>
      <c r="F50" s="112">
        <v>1</v>
      </c>
      <c r="G50" s="113">
        <f t="shared" si="3"/>
        <v>0.6517857142857143</v>
      </c>
      <c r="H50" s="112"/>
    </row>
    <row r="51" spans="1:8" ht="12.75">
      <c r="A51" s="109" t="s">
        <v>478</v>
      </c>
      <c r="B51" s="110">
        <v>168</v>
      </c>
      <c r="C51" s="111">
        <v>0.6507936507936508</v>
      </c>
      <c r="D51" s="330">
        <v>60</v>
      </c>
      <c r="E51" s="330">
        <v>30</v>
      </c>
      <c r="F51" s="112">
        <f>D51/E51</f>
        <v>2</v>
      </c>
      <c r="G51" s="113">
        <f t="shared" si="3"/>
        <v>0.3253968253968254</v>
      </c>
      <c r="H51" s="112"/>
    </row>
    <row r="52" spans="1:8" ht="12.75">
      <c r="A52" s="109" t="s">
        <v>479</v>
      </c>
      <c r="B52" s="110">
        <v>331</v>
      </c>
      <c r="C52" s="111">
        <v>0.6466666666666666</v>
      </c>
      <c r="D52" s="330">
        <v>20</v>
      </c>
      <c r="E52" s="330">
        <v>60</v>
      </c>
      <c r="F52" s="112">
        <f>D52/E52</f>
        <v>0.3333333333333333</v>
      </c>
      <c r="G52" s="113">
        <f t="shared" si="3"/>
        <v>1.94</v>
      </c>
      <c r="H52" s="112"/>
    </row>
    <row r="53" spans="1:8" ht="12.75">
      <c r="A53" s="109" t="s">
        <v>480</v>
      </c>
      <c r="B53" s="110">
        <v>11</v>
      </c>
      <c r="C53" s="111">
        <v>0.6458752515090543</v>
      </c>
      <c r="D53" s="330"/>
      <c r="E53" s="330"/>
      <c r="F53" s="112">
        <v>1</v>
      </c>
      <c r="G53" s="113">
        <f t="shared" si="3"/>
        <v>0.6458752515090543</v>
      </c>
      <c r="H53" s="112"/>
    </row>
    <row r="54" spans="1:8" ht="12.75">
      <c r="A54" s="132" t="s">
        <v>88</v>
      </c>
      <c r="B54" s="126">
        <v>5</v>
      </c>
      <c r="C54" s="111">
        <v>0.645748987854251</v>
      </c>
      <c r="D54" s="331">
        <v>30</v>
      </c>
      <c r="E54" s="331">
        <v>60</v>
      </c>
      <c r="F54" s="112">
        <f>D54/E54</f>
        <v>0.5</v>
      </c>
      <c r="G54" s="113">
        <f>C54*0.5/F54</f>
        <v>0.645748987854251</v>
      </c>
      <c r="H54" s="120" t="s">
        <v>608</v>
      </c>
    </row>
    <row r="55" spans="1:8" ht="12.75">
      <c r="A55" s="109" t="s">
        <v>391</v>
      </c>
      <c r="B55" s="110">
        <v>5</v>
      </c>
      <c r="C55" s="111">
        <v>0.645748987854251</v>
      </c>
      <c r="D55" s="330"/>
      <c r="E55" s="330"/>
      <c r="F55" s="112">
        <v>1</v>
      </c>
      <c r="G55" s="113">
        <f t="shared" si="3"/>
        <v>0.645748987854251</v>
      </c>
      <c r="H55" s="112"/>
    </row>
    <row r="56" spans="1:8" ht="12.75">
      <c r="A56" s="109" t="s">
        <v>481</v>
      </c>
      <c r="B56" s="110">
        <v>13</v>
      </c>
      <c r="C56" s="111">
        <v>0.6428571428571429</v>
      </c>
      <c r="D56" s="330"/>
      <c r="E56" s="330"/>
      <c r="F56" s="112">
        <v>1</v>
      </c>
      <c r="G56" s="113">
        <f t="shared" si="3"/>
        <v>0.6428571428571429</v>
      </c>
      <c r="H56" s="112"/>
    </row>
    <row r="57" spans="1:8" ht="12.75">
      <c r="A57" s="109" t="s">
        <v>482</v>
      </c>
      <c r="B57" s="110">
        <v>131</v>
      </c>
      <c r="C57" s="111">
        <v>0.6338797814207651</v>
      </c>
      <c r="D57" s="330"/>
      <c r="E57" s="330"/>
      <c r="F57" s="112">
        <v>1</v>
      </c>
      <c r="G57" s="113">
        <f t="shared" si="3"/>
        <v>0.6338797814207651</v>
      </c>
      <c r="H57" s="112"/>
    </row>
    <row r="58" spans="1:8" ht="12.75">
      <c r="A58" s="109" t="s">
        <v>380</v>
      </c>
      <c r="B58" s="110">
        <v>27</v>
      </c>
      <c r="C58" s="111">
        <v>0.6190476190476191</v>
      </c>
      <c r="D58" s="330"/>
      <c r="E58" s="330"/>
      <c r="F58" s="112">
        <v>1</v>
      </c>
      <c r="G58" s="113">
        <f t="shared" si="3"/>
        <v>0.6190476190476191</v>
      </c>
      <c r="H58" s="112"/>
    </row>
    <row r="59" spans="1:8" ht="12.75">
      <c r="A59" s="109" t="s">
        <v>483</v>
      </c>
      <c r="B59" s="110">
        <v>2</v>
      </c>
      <c r="C59" s="111">
        <v>0.6122448979591837</v>
      </c>
      <c r="D59" s="330"/>
      <c r="E59" s="330"/>
      <c r="F59" s="112">
        <v>1</v>
      </c>
      <c r="G59" s="113">
        <f t="shared" si="3"/>
        <v>0.6122448979591837</v>
      </c>
      <c r="H59" s="112"/>
    </row>
    <row r="60" spans="1:8" ht="12.75">
      <c r="A60" s="109" t="s">
        <v>484</v>
      </c>
      <c r="B60" s="110">
        <v>43</v>
      </c>
      <c r="C60" s="111">
        <v>0.40630182421227196</v>
      </c>
      <c r="D60" s="330">
        <v>10</v>
      </c>
      <c r="E60" s="330">
        <v>15</v>
      </c>
      <c r="F60" s="112">
        <f>D60/E60</f>
        <v>0.6666666666666666</v>
      </c>
      <c r="G60" s="113">
        <f t="shared" si="3"/>
        <v>0.609452736318408</v>
      </c>
      <c r="H60" s="112"/>
    </row>
    <row r="61" spans="1:8" ht="12.75">
      <c r="A61" s="109" t="s">
        <v>485</v>
      </c>
      <c r="B61" s="110">
        <v>245</v>
      </c>
      <c r="C61" s="111">
        <v>0.30423280423280424</v>
      </c>
      <c r="D61" s="330">
        <v>15</v>
      </c>
      <c r="E61" s="330">
        <v>30</v>
      </c>
      <c r="F61" s="112">
        <f>D61/E61</f>
        <v>0.5</v>
      </c>
      <c r="G61" s="113">
        <f t="shared" si="3"/>
        <v>0.6084656084656085</v>
      </c>
      <c r="H61" s="112"/>
    </row>
    <row r="62" spans="1:8" ht="12.75">
      <c r="A62" s="109" t="s">
        <v>486</v>
      </c>
      <c r="B62" s="110">
        <v>180</v>
      </c>
      <c r="C62" s="111">
        <v>0.5873015873015873</v>
      </c>
      <c r="D62" s="330">
        <v>30</v>
      </c>
      <c r="E62" s="330">
        <v>15</v>
      </c>
      <c r="F62" s="112">
        <f>D62/E62</f>
        <v>2</v>
      </c>
      <c r="G62" s="113">
        <f t="shared" si="3"/>
        <v>0.29365079365079366</v>
      </c>
      <c r="H62" s="112"/>
    </row>
    <row r="63" spans="1:8" ht="12.75">
      <c r="A63" s="109" t="s">
        <v>487</v>
      </c>
      <c r="B63" s="110">
        <v>169</v>
      </c>
      <c r="C63" s="111">
        <v>0.5753968253968254</v>
      </c>
      <c r="D63" s="330"/>
      <c r="E63" s="330"/>
      <c r="F63" s="112">
        <v>1</v>
      </c>
      <c r="G63" s="113">
        <f t="shared" si="3"/>
        <v>0.5753968253968254</v>
      </c>
      <c r="H63" s="112"/>
    </row>
    <row r="64" spans="1:8" ht="12.75">
      <c r="A64" s="109" t="s">
        <v>488</v>
      </c>
      <c r="B64" s="110">
        <v>4</v>
      </c>
      <c r="C64" s="111">
        <v>0.5714285714285714</v>
      </c>
      <c r="D64" s="330"/>
      <c r="E64" s="330"/>
      <c r="F64" s="112">
        <v>1</v>
      </c>
      <c r="G64" s="113">
        <f t="shared" si="3"/>
        <v>0.5714285714285714</v>
      </c>
      <c r="H64" s="112"/>
    </row>
    <row r="65" spans="1:8" ht="12.75">
      <c r="A65" s="109" t="s">
        <v>489</v>
      </c>
      <c r="B65" s="110">
        <v>30</v>
      </c>
      <c r="C65" s="111">
        <v>0.5714285714285714</v>
      </c>
      <c r="D65" s="330">
        <v>30</v>
      </c>
      <c r="E65" s="330">
        <v>60</v>
      </c>
      <c r="F65" s="112">
        <f>D65/E65</f>
        <v>0.5</v>
      </c>
      <c r="G65" s="113">
        <f t="shared" si="3"/>
        <v>1.1428571428571428</v>
      </c>
      <c r="H65" s="112"/>
    </row>
    <row r="66" spans="1:8" ht="12.75">
      <c r="A66" s="109" t="s">
        <v>490</v>
      </c>
      <c r="B66" s="110">
        <v>14</v>
      </c>
      <c r="C66" s="111">
        <v>0.564935064935065</v>
      </c>
      <c r="D66" s="330"/>
      <c r="E66" s="330"/>
      <c r="F66" s="112">
        <v>1</v>
      </c>
      <c r="G66" s="113">
        <f t="shared" si="3"/>
        <v>0.564935064935065</v>
      </c>
      <c r="H66" s="112"/>
    </row>
    <row r="67" spans="1:8" ht="12.75">
      <c r="A67" s="109" t="s">
        <v>491</v>
      </c>
      <c r="B67" s="110">
        <v>194</v>
      </c>
      <c r="C67" s="111">
        <v>0.5520833333333334</v>
      </c>
      <c r="D67" s="330"/>
      <c r="E67" s="330"/>
      <c r="F67" s="112">
        <v>1</v>
      </c>
      <c r="G67" s="113">
        <f t="shared" si="3"/>
        <v>0.5520833333333334</v>
      </c>
      <c r="H67" s="112"/>
    </row>
    <row r="68" spans="1:8" ht="12.75">
      <c r="A68" s="109" t="s">
        <v>492</v>
      </c>
      <c r="B68" s="110">
        <v>132</v>
      </c>
      <c r="C68" s="111">
        <v>0.5504587155963303</v>
      </c>
      <c r="D68" s="330"/>
      <c r="E68" s="330"/>
      <c r="F68" s="112">
        <v>1</v>
      </c>
      <c r="G68" s="113">
        <f t="shared" si="3"/>
        <v>0.5504587155963303</v>
      </c>
      <c r="H68" s="112"/>
    </row>
    <row r="69" spans="1:8" ht="12.75">
      <c r="A69" s="109" t="s">
        <v>493</v>
      </c>
      <c r="B69" s="110">
        <v>24</v>
      </c>
      <c r="C69" s="111">
        <v>0.5476190476190477</v>
      </c>
      <c r="D69" s="330"/>
      <c r="E69" s="330"/>
      <c r="F69" s="112">
        <v>1</v>
      </c>
      <c r="G69" s="113">
        <f aca="true" t="shared" si="4" ref="G69:G100">C69/F69</f>
        <v>0.5476190476190477</v>
      </c>
      <c r="H69" s="112"/>
    </row>
    <row r="70" spans="1:8" ht="12.75">
      <c r="A70" s="119" t="s">
        <v>494</v>
      </c>
      <c r="B70" s="110">
        <v>107</v>
      </c>
      <c r="C70" s="111">
        <v>0.7205882352941176</v>
      </c>
      <c r="D70" s="330">
        <v>20</v>
      </c>
      <c r="E70" s="330">
        <v>15</v>
      </c>
      <c r="F70" s="112">
        <f>D70/E70</f>
        <v>1.3333333333333333</v>
      </c>
      <c r="G70" s="113">
        <f t="shared" si="4"/>
        <v>0.5404411764705883</v>
      </c>
      <c r="H70" s="112"/>
    </row>
    <row r="71" spans="1:8" ht="12.75">
      <c r="A71" s="109" t="s">
        <v>370</v>
      </c>
      <c r="B71" s="110">
        <v>153</v>
      </c>
      <c r="C71" s="111">
        <v>0.5343137254901961</v>
      </c>
      <c r="D71" s="330"/>
      <c r="E71" s="330"/>
      <c r="F71" s="112">
        <v>1</v>
      </c>
      <c r="G71" s="113">
        <f t="shared" si="4"/>
        <v>0.5343137254901961</v>
      </c>
      <c r="H71" s="112"/>
    </row>
    <row r="72" spans="1:8" ht="12.75">
      <c r="A72" s="109" t="s">
        <v>495</v>
      </c>
      <c r="B72" s="110">
        <v>348</v>
      </c>
      <c r="C72" s="111">
        <v>0.5333333333333333</v>
      </c>
      <c r="D72" s="330"/>
      <c r="E72" s="330"/>
      <c r="F72" s="112">
        <f>30/30</f>
        <v>1</v>
      </c>
      <c r="G72" s="113">
        <f t="shared" si="4"/>
        <v>0.5333333333333333</v>
      </c>
      <c r="H72" s="112"/>
    </row>
    <row r="73" spans="1:8" ht="12.75">
      <c r="A73" s="109" t="s">
        <v>496</v>
      </c>
      <c r="B73" s="110">
        <v>67</v>
      </c>
      <c r="C73" s="111">
        <v>0.518324607329843</v>
      </c>
      <c r="D73" s="330">
        <v>15</v>
      </c>
      <c r="E73" s="330">
        <v>30</v>
      </c>
      <c r="F73" s="112">
        <f>D73/E73</f>
        <v>0.5</v>
      </c>
      <c r="G73" s="113">
        <f t="shared" si="4"/>
        <v>1.036649214659686</v>
      </c>
      <c r="H73" s="112"/>
    </row>
    <row r="74" spans="1:8" ht="12.75">
      <c r="A74" s="109" t="s">
        <v>497</v>
      </c>
      <c r="B74" s="110">
        <v>49</v>
      </c>
      <c r="C74" s="111">
        <v>0.5160714285714286</v>
      </c>
      <c r="D74" s="330"/>
      <c r="E74" s="330"/>
      <c r="F74" s="112">
        <v>1</v>
      </c>
      <c r="G74" s="113">
        <f t="shared" si="4"/>
        <v>0.5160714285714286</v>
      </c>
      <c r="H74" s="112"/>
    </row>
    <row r="75" spans="1:8" ht="12.75">
      <c r="A75" s="109" t="s">
        <v>498</v>
      </c>
      <c r="B75" s="110">
        <v>128</v>
      </c>
      <c r="C75" s="111">
        <v>0.5158730158730159</v>
      </c>
      <c r="D75" s="330"/>
      <c r="E75" s="330"/>
      <c r="F75" s="112">
        <v>1</v>
      </c>
      <c r="G75" s="113">
        <f t="shared" si="4"/>
        <v>0.5158730158730159</v>
      </c>
      <c r="H75" s="112"/>
    </row>
    <row r="76" spans="1:8" ht="12.75">
      <c r="A76" s="109" t="s">
        <v>499</v>
      </c>
      <c r="B76" s="110">
        <v>230</v>
      </c>
      <c r="C76" s="111">
        <v>0.5158730158730159</v>
      </c>
      <c r="D76" s="330"/>
      <c r="E76" s="330"/>
      <c r="F76" s="112">
        <v>1</v>
      </c>
      <c r="G76" s="113">
        <f t="shared" si="4"/>
        <v>0.5158730158730159</v>
      </c>
      <c r="H76" s="112"/>
    </row>
    <row r="77" spans="1:8" ht="12.75">
      <c r="A77" s="109" t="s">
        <v>500</v>
      </c>
      <c r="B77" s="110">
        <v>14</v>
      </c>
      <c r="C77" s="111">
        <v>0.5138888888888888</v>
      </c>
      <c r="D77" s="330"/>
      <c r="E77" s="330"/>
      <c r="F77" s="112">
        <v>1</v>
      </c>
      <c r="G77" s="113">
        <f t="shared" si="4"/>
        <v>0.5138888888888888</v>
      </c>
      <c r="H77" s="112"/>
    </row>
    <row r="78" spans="1:8" ht="12.75">
      <c r="A78" s="109" t="s">
        <v>501</v>
      </c>
      <c r="B78" s="110">
        <v>132</v>
      </c>
      <c r="C78" s="111">
        <v>0.5094339622641509</v>
      </c>
      <c r="D78" s="330"/>
      <c r="E78" s="330"/>
      <c r="F78" s="112">
        <v>1</v>
      </c>
      <c r="G78" s="113">
        <f t="shared" si="4"/>
        <v>0.5094339622641509</v>
      </c>
      <c r="H78" s="112"/>
    </row>
    <row r="79" spans="1:8" ht="12.75">
      <c r="A79" s="109" t="s">
        <v>502</v>
      </c>
      <c r="B79" s="110">
        <v>221</v>
      </c>
      <c r="C79" s="111">
        <v>0.25</v>
      </c>
      <c r="D79" s="330">
        <v>30</v>
      </c>
      <c r="E79" s="330">
        <v>60</v>
      </c>
      <c r="F79" s="112">
        <f>D79/E79</f>
        <v>0.5</v>
      </c>
      <c r="G79" s="113">
        <f t="shared" si="4"/>
        <v>0.5</v>
      </c>
      <c r="H79" s="112"/>
    </row>
    <row r="80" spans="1:8" ht="12.75">
      <c r="A80" s="109" t="s">
        <v>503</v>
      </c>
      <c r="B80" s="110">
        <v>253</v>
      </c>
      <c r="C80" s="111">
        <v>0.5</v>
      </c>
      <c r="D80" s="330"/>
      <c r="E80" s="330"/>
      <c r="F80" s="112">
        <v>1</v>
      </c>
      <c r="G80" s="113">
        <f t="shared" si="4"/>
        <v>0.5</v>
      </c>
      <c r="H80" s="112"/>
    </row>
    <row r="81" spans="1:8" ht="12.75">
      <c r="A81" s="109" t="s">
        <v>504</v>
      </c>
      <c r="B81" s="110">
        <v>65</v>
      </c>
      <c r="C81" s="111">
        <v>0.49809160305343514</v>
      </c>
      <c r="D81" s="330">
        <v>15</v>
      </c>
      <c r="E81" s="330">
        <v>30</v>
      </c>
      <c r="F81" s="112">
        <f>D81/E81</f>
        <v>0.5</v>
      </c>
      <c r="G81" s="113">
        <f t="shared" si="4"/>
        <v>0.9961832061068703</v>
      </c>
      <c r="H81" s="112"/>
    </row>
    <row r="82" spans="1:8" ht="12.75">
      <c r="A82" s="109" t="s">
        <v>505</v>
      </c>
      <c r="B82" s="110">
        <v>148</v>
      </c>
      <c r="C82" s="111">
        <v>0.4885057471264368</v>
      </c>
      <c r="D82" s="330"/>
      <c r="E82" s="330"/>
      <c r="F82" s="112">
        <v>1</v>
      </c>
      <c r="G82" s="113">
        <f t="shared" si="4"/>
        <v>0.4885057471264368</v>
      </c>
      <c r="H82" s="112"/>
    </row>
    <row r="83" spans="1:8" ht="12.75">
      <c r="A83" s="109" t="s">
        <v>506</v>
      </c>
      <c r="B83" s="110">
        <v>174</v>
      </c>
      <c r="C83" s="111">
        <v>0.48084291187739464</v>
      </c>
      <c r="D83" s="330"/>
      <c r="E83" s="330"/>
      <c r="F83" s="112">
        <v>1</v>
      </c>
      <c r="G83" s="113">
        <f t="shared" si="4"/>
        <v>0.48084291187739464</v>
      </c>
      <c r="H83" s="112"/>
    </row>
    <row r="84" spans="1:8" ht="12.75">
      <c r="A84" s="109" t="s">
        <v>383</v>
      </c>
      <c r="B84" s="110">
        <v>249</v>
      </c>
      <c r="C84" s="111">
        <v>0.4777777777777778</v>
      </c>
      <c r="D84" s="330"/>
      <c r="E84" s="330"/>
      <c r="F84" s="112">
        <v>1</v>
      </c>
      <c r="G84" s="113">
        <f t="shared" si="4"/>
        <v>0.4777777777777778</v>
      </c>
      <c r="H84" s="112"/>
    </row>
    <row r="85" spans="1:8" ht="12.75">
      <c r="A85" s="109" t="s">
        <v>507</v>
      </c>
      <c r="B85" s="110">
        <v>903</v>
      </c>
      <c r="C85" s="111">
        <v>0.4666666666666667</v>
      </c>
      <c r="D85" s="330"/>
      <c r="E85" s="330"/>
      <c r="F85" s="112">
        <v>1</v>
      </c>
      <c r="G85" s="113">
        <f t="shared" si="4"/>
        <v>0.4666666666666667</v>
      </c>
      <c r="H85" s="112"/>
    </row>
    <row r="86" spans="1:8" ht="12.75">
      <c r="A86" s="109" t="s">
        <v>508</v>
      </c>
      <c r="B86" s="110">
        <v>240</v>
      </c>
      <c r="C86" s="111">
        <v>0.45634920634920634</v>
      </c>
      <c r="D86" s="330"/>
      <c r="E86" s="330"/>
      <c r="F86" s="112">
        <v>1</v>
      </c>
      <c r="G86" s="113">
        <f t="shared" si="4"/>
        <v>0.45634920634920634</v>
      </c>
      <c r="H86" s="112"/>
    </row>
    <row r="87" spans="1:8" ht="12.75">
      <c r="A87" s="109" t="s">
        <v>509</v>
      </c>
      <c r="B87" s="110">
        <v>75</v>
      </c>
      <c r="C87" s="111">
        <v>0.4523809523809524</v>
      </c>
      <c r="D87" s="330"/>
      <c r="E87" s="330"/>
      <c r="F87" s="112">
        <v>1</v>
      </c>
      <c r="G87" s="113">
        <f t="shared" si="4"/>
        <v>0.4523809523809524</v>
      </c>
      <c r="H87" s="112"/>
    </row>
    <row r="88" spans="1:8" ht="12.75">
      <c r="A88" s="109" t="s">
        <v>510</v>
      </c>
      <c r="B88" s="110">
        <v>921</v>
      </c>
      <c r="C88" s="111">
        <v>0.4444444444444444</v>
      </c>
      <c r="D88" s="330">
        <v>30</v>
      </c>
      <c r="E88" s="330">
        <v>60</v>
      </c>
      <c r="F88" s="112">
        <f>D88/E88</f>
        <v>0.5</v>
      </c>
      <c r="G88" s="113">
        <f t="shared" si="4"/>
        <v>0.8888888888888888</v>
      </c>
      <c r="H88" s="112"/>
    </row>
    <row r="89" spans="1:8" ht="12.75">
      <c r="A89" s="109" t="s">
        <v>511</v>
      </c>
      <c r="B89" s="110">
        <v>8</v>
      </c>
      <c r="C89" s="111">
        <v>0.4356223175965665</v>
      </c>
      <c r="D89" s="330"/>
      <c r="E89" s="330"/>
      <c r="F89" s="112">
        <v>1</v>
      </c>
      <c r="G89" s="113">
        <f t="shared" si="4"/>
        <v>0.4356223175965665</v>
      </c>
      <c r="H89" s="112"/>
    </row>
    <row r="90" spans="1:8" ht="12.75">
      <c r="A90" s="109">
        <v>330</v>
      </c>
      <c r="B90" s="110">
        <v>330</v>
      </c>
      <c r="C90" s="111">
        <v>0.44</v>
      </c>
      <c r="D90" s="330">
        <v>30</v>
      </c>
      <c r="E90" s="330">
        <v>60</v>
      </c>
      <c r="F90" s="112">
        <f>D90/E90</f>
        <v>0.5</v>
      </c>
      <c r="G90" s="113">
        <f t="shared" si="4"/>
        <v>0.88</v>
      </c>
      <c r="H90" s="112"/>
    </row>
    <row r="91" spans="1:8" ht="12.75">
      <c r="A91" s="109" t="s">
        <v>512</v>
      </c>
      <c r="B91" s="110">
        <v>150</v>
      </c>
      <c r="C91" s="111">
        <v>0.43452380952380953</v>
      </c>
      <c r="D91" s="330"/>
      <c r="E91" s="330"/>
      <c r="F91" s="112">
        <v>1</v>
      </c>
      <c r="G91" s="113">
        <f t="shared" si="4"/>
        <v>0.43452380952380953</v>
      </c>
      <c r="H91" s="112"/>
    </row>
    <row r="92" spans="1:8" ht="12.75">
      <c r="A92" s="109" t="s">
        <v>513</v>
      </c>
      <c r="B92" s="110">
        <v>12</v>
      </c>
      <c r="C92" s="111">
        <v>0.42857142857142855</v>
      </c>
      <c r="D92" s="330"/>
      <c r="E92" s="330"/>
      <c r="F92" s="112">
        <v>1</v>
      </c>
      <c r="G92" s="113">
        <f t="shared" si="4"/>
        <v>0.42857142857142855</v>
      </c>
      <c r="H92" s="112"/>
    </row>
    <row r="93" spans="1:8" ht="12.75">
      <c r="A93" s="109" t="s">
        <v>514</v>
      </c>
      <c r="B93" s="110">
        <v>21</v>
      </c>
      <c r="C93" s="111">
        <v>0.4265536723163842</v>
      </c>
      <c r="D93" s="330"/>
      <c r="E93" s="330"/>
      <c r="F93" s="112">
        <v>1</v>
      </c>
      <c r="G93" s="113">
        <f t="shared" si="4"/>
        <v>0.4265536723163842</v>
      </c>
      <c r="H93" s="112"/>
    </row>
    <row r="94" spans="1:8" ht="12.75">
      <c r="A94" s="109" t="s">
        <v>515</v>
      </c>
      <c r="B94" s="110">
        <v>118</v>
      </c>
      <c r="C94" s="111">
        <v>0.4264705882352941</v>
      </c>
      <c r="D94" s="330"/>
      <c r="E94" s="330"/>
      <c r="F94" s="112">
        <v>1</v>
      </c>
      <c r="G94" s="113">
        <f t="shared" si="4"/>
        <v>0.4264705882352941</v>
      </c>
      <c r="H94" s="112"/>
    </row>
    <row r="95" spans="1:8" ht="12.75">
      <c r="A95" s="109" t="s">
        <v>369</v>
      </c>
      <c r="B95" s="110">
        <v>183</v>
      </c>
      <c r="C95" s="111">
        <v>0.42592592592592593</v>
      </c>
      <c r="D95" s="330">
        <v>60</v>
      </c>
      <c r="E95" s="330">
        <v>15</v>
      </c>
      <c r="F95" s="112">
        <f>D95/E95</f>
        <v>4</v>
      </c>
      <c r="G95" s="113">
        <f t="shared" si="4"/>
        <v>0.10648148148148148</v>
      </c>
      <c r="H95" s="112"/>
    </row>
    <row r="96" spans="1:8" ht="12.75">
      <c r="A96" s="109" t="s">
        <v>386</v>
      </c>
      <c r="B96" s="110">
        <v>25</v>
      </c>
      <c r="C96" s="111">
        <v>0.42346938775510207</v>
      </c>
      <c r="D96" s="330"/>
      <c r="E96" s="330"/>
      <c r="F96" s="112">
        <v>1</v>
      </c>
      <c r="G96" s="113">
        <f t="shared" si="4"/>
        <v>0.42346938775510207</v>
      </c>
      <c r="H96" s="112"/>
    </row>
    <row r="97" spans="1:8" ht="12.75">
      <c r="A97" s="109" t="s">
        <v>374</v>
      </c>
      <c r="B97" s="110">
        <v>155</v>
      </c>
      <c r="C97" s="111">
        <v>0.4222222222222222</v>
      </c>
      <c r="D97" s="330"/>
      <c r="E97" s="330"/>
      <c r="F97" s="112">
        <v>1</v>
      </c>
      <c r="G97" s="113">
        <f t="shared" si="4"/>
        <v>0.4222222222222222</v>
      </c>
      <c r="H97" s="112"/>
    </row>
    <row r="98" spans="1:8" ht="12.75">
      <c r="A98" s="109" t="s">
        <v>516</v>
      </c>
      <c r="B98" s="110">
        <v>105</v>
      </c>
      <c r="C98" s="111">
        <v>0.42063492063492064</v>
      </c>
      <c r="D98" s="330"/>
      <c r="E98" s="330"/>
      <c r="F98" s="112">
        <v>1</v>
      </c>
      <c r="G98" s="113">
        <f t="shared" si="4"/>
        <v>0.42063492063492064</v>
      </c>
      <c r="H98" s="112"/>
    </row>
    <row r="99" spans="1:8" ht="12.75">
      <c r="A99" s="109" t="s">
        <v>517</v>
      </c>
      <c r="B99" s="110">
        <v>347</v>
      </c>
      <c r="C99" s="111">
        <v>0.4126984126984127</v>
      </c>
      <c r="D99" s="330">
        <v>15</v>
      </c>
      <c r="E99" s="330">
        <v>30</v>
      </c>
      <c r="F99" s="112">
        <f>D99/E99</f>
        <v>0.5</v>
      </c>
      <c r="G99" s="113">
        <f t="shared" si="4"/>
        <v>0.8253968253968254</v>
      </c>
      <c r="H99" s="112"/>
    </row>
    <row r="100" spans="1:8" ht="12.75">
      <c r="A100" s="109" t="s">
        <v>378</v>
      </c>
      <c r="B100" s="110">
        <v>39</v>
      </c>
      <c r="C100" s="111">
        <v>0.4114441416893733</v>
      </c>
      <c r="D100" s="330">
        <v>20</v>
      </c>
      <c r="E100" s="330">
        <v>60</v>
      </c>
      <c r="F100" s="112">
        <f>D100/E100</f>
        <v>0.3333333333333333</v>
      </c>
      <c r="G100" s="113">
        <f t="shared" si="4"/>
        <v>1.23433242506812</v>
      </c>
      <c r="H100" s="112"/>
    </row>
    <row r="101" spans="1:8" ht="12.75">
      <c r="A101" s="109" t="s">
        <v>518</v>
      </c>
      <c r="B101" s="110">
        <v>164</v>
      </c>
      <c r="C101" s="111">
        <v>0.4107142857142857</v>
      </c>
      <c r="D101" s="330">
        <v>60</v>
      </c>
      <c r="E101" s="330">
        <v>30</v>
      </c>
      <c r="F101" s="112">
        <f>D101/E101</f>
        <v>2</v>
      </c>
      <c r="G101" s="113">
        <f aca="true" t="shared" si="5" ref="G101:G132">C101/F101</f>
        <v>0.20535714285714285</v>
      </c>
      <c r="H101" s="112"/>
    </row>
    <row r="102" spans="1:8" ht="12.75">
      <c r="A102" s="109" t="s">
        <v>519</v>
      </c>
      <c r="B102" s="110">
        <v>166</v>
      </c>
      <c r="C102" s="111">
        <v>0.4087301587301587</v>
      </c>
      <c r="D102" s="330"/>
      <c r="E102" s="330"/>
      <c r="F102" s="112">
        <v>1</v>
      </c>
      <c r="G102" s="113">
        <f t="shared" si="5"/>
        <v>0.4087301587301587</v>
      </c>
      <c r="H102" s="112"/>
    </row>
    <row r="103" spans="1:8" ht="12.75">
      <c r="A103" s="109" t="s">
        <v>520</v>
      </c>
      <c r="B103" s="110">
        <v>345</v>
      </c>
      <c r="C103" s="111">
        <v>0.40555555555555556</v>
      </c>
      <c r="D103" s="330"/>
      <c r="E103" s="330"/>
      <c r="F103" s="112">
        <v>1</v>
      </c>
      <c r="G103" s="113">
        <f t="shared" si="5"/>
        <v>0.40555555555555556</v>
      </c>
      <c r="H103" s="112"/>
    </row>
    <row r="104" spans="1:8" ht="12.75">
      <c r="A104" s="109" t="s">
        <v>521</v>
      </c>
      <c r="B104" s="110">
        <v>915</v>
      </c>
      <c r="C104" s="111">
        <v>0.40476190476190477</v>
      </c>
      <c r="D104" s="330"/>
      <c r="E104" s="330"/>
      <c r="F104" s="112">
        <v>1</v>
      </c>
      <c r="G104" s="113">
        <f t="shared" si="5"/>
        <v>0.40476190476190477</v>
      </c>
      <c r="H104" s="112"/>
    </row>
    <row r="105" spans="1:8" ht="12.75">
      <c r="A105" s="109" t="s">
        <v>522</v>
      </c>
      <c r="B105" s="110">
        <v>43</v>
      </c>
      <c r="C105" s="111">
        <v>0.39285714285714285</v>
      </c>
      <c r="D105" s="330"/>
      <c r="E105" s="330"/>
      <c r="F105" s="112">
        <v>1</v>
      </c>
      <c r="G105" s="113">
        <f t="shared" si="5"/>
        <v>0.39285714285714285</v>
      </c>
      <c r="H105" s="112"/>
    </row>
    <row r="106" spans="1:8" ht="12.75">
      <c r="A106" s="109" t="s">
        <v>523</v>
      </c>
      <c r="B106" s="110">
        <v>22</v>
      </c>
      <c r="C106" s="111">
        <v>0.38153846153846155</v>
      </c>
      <c r="D106" s="330"/>
      <c r="E106" s="330"/>
      <c r="F106" s="112">
        <v>1</v>
      </c>
      <c r="G106" s="113">
        <f t="shared" si="5"/>
        <v>0.38153846153846155</v>
      </c>
      <c r="H106" s="112"/>
    </row>
    <row r="107" spans="1:8" ht="12.75">
      <c r="A107" s="109" t="s">
        <v>524</v>
      </c>
      <c r="B107" s="110">
        <v>125</v>
      </c>
      <c r="C107" s="111">
        <v>0.38095238095238093</v>
      </c>
      <c r="D107" s="330">
        <v>15</v>
      </c>
      <c r="E107" s="330">
        <v>30</v>
      </c>
      <c r="F107" s="112">
        <f>D107/E107</f>
        <v>0.5</v>
      </c>
      <c r="G107" s="113">
        <f t="shared" si="5"/>
        <v>0.7619047619047619</v>
      </c>
      <c r="H107" s="112"/>
    </row>
    <row r="108" spans="1:8" ht="12.75">
      <c r="A108" s="109" t="s">
        <v>525</v>
      </c>
      <c r="B108" s="110">
        <v>346</v>
      </c>
      <c r="C108" s="111">
        <v>0.376984126984127</v>
      </c>
      <c r="D108" s="330"/>
      <c r="E108" s="330"/>
      <c r="F108" s="112">
        <v>1</v>
      </c>
      <c r="G108" s="113">
        <f t="shared" si="5"/>
        <v>0.376984126984127</v>
      </c>
      <c r="H108" s="112"/>
    </row>
    <row r="109" spans="1:8" ht="12.75">
      <c r="A109" s="109" t="s">
        <v>526</v>
      </c>
      <c r="B109" s="110">
        <v>917</v>
      </c>
      <c r="C109" s="111">
        <v>0.36666666666666664</v>
      </c>
      <c r="D109" s="330"/>
      <c r="E109" s="330"/>
      <c r="F109" s="112">
        <v>1</v>
      </c>
      <c r="G109" s="113">
        <f t="shared" si="5"/>
        <v>0.36666666666666664</v>
      </c>
      <c r="H109" s="112"/>
    </row>
    <row r="110" spans="1:8" ht="12.75">
      <c r="A110" s="109" t="s">
        <v>527</v>
      </c>
      <c r="B110" s="110">
        <v>23</v>
      </c>
      <c r="C110" s="111">
        <v>0.36607142857142855</v>
      </c>
      <c r="D110" s="330"/>
      <c r="E110" s="330"/>
      <c r="F110" s="112">
        <v>1</v>
      </c>
      <c r="G110" s="113">
        <f t="shared" si="5"/>
        <v>0.36607142857142855</v>
      </c>
      <c r="H110" s="112"/>
    </row>
    <row r="111" spans="1:8" ht="12.75">
      <c r="A111" s="109" t="s">
        <v>528</v>
      </c>
      <c r="B111" s="110">
        <v>124</v>
      </c>
      <c r="C111" s="111">
        <v>0.361328125</v>
      </c>
      <c r="D111" s="330"/>
      <c r="E111" s="330"/>
      <c r="F111" s="112">
        <v>1</v>
      </c>
      <c r="G111" s="113">
        <f t="shared" si="5"/>
        <v>0.361328125</v>
      </c>
      <c r="H111" s="112"/>
    </row>
    <row r="112" spans="1:8" ht="12.75">
      <c r="A112" s="109" t="s">
        <v>529</v>
      </c>
      <c r="B112" s="110">
        <v>73</v>
      </c>
      <c r="C112" s="111">
        <v>0.33620689655172414</v>
      </c>
      <c r="D112" s="330"/>
      <c r="E112" s="330"/>
      <c r="F112" s="112">
        <v>1</v>
      </c>
      <c r="G112" s="113">
        <f t="shared" si="5"/>
        <v>0.33620689655172414</v>
      </c>
      <c r="H112" s="112"/>
    </row>
    <row r="113" spans="1:8" ht="12.75">
      <c r="A113" s="109" t="s">
        <v>530</v>
      </c>
      <c r="B113" s="110">
        <v>236</v>
      </c>
      <c r="C113" s="111">
        <v>0.16666666666666666</v>
      </c>
      <c r="D113" s="330">
        <v>30</v>
      </c>
      <c r="E113" s="330">
        <v>60</v>
      </c>
      <c r="F113" s="112">
        <f>D113/E113</f>
        <v>0.5</v>
      </c>
      <c r="G113" s="113">
        <f t="shared" si="5"/>
        <v>0.3333333333333333</v>
      </c>
      <c r="H113" s="112"/>
    </row>
    <row r="114" spans="1:8" ht="12.75">
      <c r="A114" s="109" t="s">
        <v>531</v>
      </c>
      <c r="B114" s="110">
        <v>238</v>
      </c>
      <c r="C114" s="111">
        <v>0.3333333333333333</v>
      </c>
      <c r="D114" s="330"/>
      <c r="E114" s="330"/>
      <c r="F114" s="112">
        <v>1</v>
      </c>
      <c r="G114" s="113">
        <f t="shared" si="5"/>
        <v>0.3333333333333333</v>
      </c>
      <c r="H114" s="112"/>
    </row>
    <row r="115" spans="1:8" ht="12.75">
      <c r="A115" s="109" t="s">
        <v>368</v>
      </c>
      <c r="B115" s="110">
        <v>901</v>
      </c>
      <c r="C115" s="111">
        <v>0.3333333333333333</v>
      </c>
      <c r="D115" s="330"/>
      <c r="E115" s="330"/>
      <c r="F115" s="112">
        <v>1</v>
      </c>
      <c r="G115" s="113">
        <f t="shared" si="5"/>
        <v>0.3333333333333333</v>
      </c>
      <c r="H115" s="112"/>
    </row>
    <row r="116" spans="1:8" ht="12.75">
      <c r="A116" s="109" t="s">
        <v>376</v>
      </c>
      <c r="B116" s="110">
        <v>909</v>
      </c>
      <c r="C116" s="111">
        <v>0.3333333333333333</v>
      </c>
      <c r="D116" s="330"/>
      <c r="E116" s="330"/>
      <c r="F116" s="112">
        <v>1</v>
      </c>
      <c r="G116" s="113">
        <f t="shared" si="5"/>
        <v>0.3333333333333333</v>
      </c>
      <c r="H116" s="112"/>
    </row>
    <row r="117" spans="1:8" ht="12.75">
      <c r="A117" s="109" t="s">
        <v>532</v>
      </c>
      <c r="B117" s="110">
        <v>927</v>
      </c>
      <c r="C117" s="111">
        <v>0.3333333333333333</v>
      </c>
      <c r="D117" s="330"/>
      <c r="E117" s="330"/>
      <c r="F117" s="112">
        <v>1</v>
      </c>
      <c r="G117" s="113">
        <f t="shared" si="5"/>
        <v>0.3333333333333333</v>
      </c>
      <c r="H117" s="112"/>
    </row>
    <row r="118" spans="1:8" ht="12.75">
      <c r="A118" s="109" t="s">
        <v>533</v>
      </c>
      <c r="B118" s="110">
        <v>929</v>
      </c>
      <c r="C118" s="111">
        <v>0.3333333333333333</v>
      </c>
      <c r="D118" s="330"/>
      <c r="E118" s="330"/>
      <c r="F118" s="112">
        <v>1</v>
      </c>
      <c r="G118" s="113">
        <f t="shared" si="5"/>
        <v>0.3333333333333333</v>
      </c>
      <c r="H118" s="112"/>
    </row>
    <row r="119" spans="1:8" ht="12.75">
      <c r="A119" s="109" t="s">
        <v>367</v>
      </c>
      <c r="B119" s="110">
        <v>187</v>
      </c>
      <c r="C119" s="111">
        <v>0.3225806451612903</v>
      </c>
      <c r="D119" s="330">
        <v>30</v>
      </c>
      <c r="E119" s="330">
        <v>60</v>
      </c>
      <c r="F119" s="112">
        <f>D119/E119</f>
        <v>0.5</v>
      </c>
      <c r="G119" s="113">
        <f t="shared" si="5"/>
        <v>0.6451612903225806</v>
      </c>
      <c r="H119" s="112"/>
    </row>
    <row r="120" spans="1:8" ht="12.75">
      <c r="A120" s="109" t="s">
        <v>534</v>
      </c>
      <c r="B120" s="110">
        <v>331</v>
      </c>
      <c r="C120" s="111">
        <v>0.2982456140350877</v>
      </c>
      <c r="D120" s="330">
        <v>20</v>
      </c>
      <c r="E120" s="330">
        <v>60</v>
      </c>
      <c r="F120" s="112">
        <f>D120/E120</f>
        <v>0.3333333333333333</v>
      </c>
      <c r="G120" s="113">
        <f t="shared" si="5"/>
        <v>0.8947368421052632</v>
      </c>
      <c r="H120" s="112"/>
    </row>
    <row r="121" spans="1:8" ht="12.75">
      <c r="A121" s="109" t="s">
        <v>535</v>
      </c>
      <c r="B121" s="110">
        <v>181</v>
      </c>
      <c r="C121" s="111">
        <v>0.2976190476190476</v>
      </c>
      <c r="D121" s="330"/>
      <c r="E121" s="330"/>
      <c r="F121" s="112">
        <v>1</v>
      </c>
      <c r="G121" s="113">
        <f t="shared" si="5"/>
        <v>0.2976190476190476</v>
      </c>
      <c r="H121" s="112"/>
    </row>
    <row r="122" spans="1:8" ht="12.75">
      <c r="A122" s="109" t="s">
        <v>536</v>
      </c>
      <c r="B122" s="110">
        <v>118</v>
      </c>
      <c r="C122" s="111">
        <v>0.29411764705882354</v>
      </c>
      <c r="D122" s="330"/>
      <c r="E122" s="330"/>
      <c r="F122" s="112">
        <v>1</v>
      </c>
      <c r="G122" s="113">
        <f t="shared" si="5"/>
        <v>0.29411764705882354</v>
      </c>
      <c r="H122" s="112"/>
    </row>
    <row r="123" spans="1:8" ht="12.75">
      <c r="A123" s="109" t="s">
        <v>375</v>
      </c>
      <c r="B123" s="110">
        <v>908</v>
      </c>
      <c r="C123" s="111">
        <v>0.26666666666666666</v>
      </c>
      <c r="D123" s="330"/>
      <c r="E123" s="330"/>
      <c r="F123" s="112">
        <v>1</v>
      </c>
      <c r="G123" s="113">
        <f t="shared" si="5"/>
        <v>0.26666666666666666</v>
      </c>
      <c r="H123" s="112"/>
    </row>
    <row r="124" spans="1:8" ht="12.75">
      <c r="A124" s="109" t="s">
        <v>537</v>
      </c>
      <c r="B124" s="110">
        <v>919</v>
      </c>
      <c r="C124" s="111">
        <v>0.26666666666666666</v>
      </c>
      <c r="D124" s="330"/>
      <c r="E124" s="330"/>
      <c r="F124" s="112">
        <v>1</v>
      </c>
      <c r="G124" s="113">
        <f t="shared" si="5"/>
        <v>0.26666666666666666</v>
      </c>
      <c r="H124" s="112"/>
    </row>
    <row r="125" spans="1:8" ht="12.75">
      <c r="A125" s="109" t="s">
        <v>538</v>
      </c>
      <c r="B125" s="110">
        <v>926</v>
      </c>
      <c r="C125" s="111">
        <v>0.26666666666666666</v>
      </c>
      <c r="D125" s="330">
        <v>30</v>
      </c>
      <c r="E125" s="330">
        <v>60</v>
      </c>
      <c r="F125" s="112">
        <f>D125/E125</f>
        <v>0.5</v>
      </c>
      <c r="G125" s="113">
        <f t="shared" si="5"/>
        <v>0.5333333333333333</v>
      </c>
      <c r="H125" s="112"/>
    </row>
    <row r="126" spans="1:8" ht="12.75">
      <c r="A126" s="109" t="s">
        <v>539</v>
      </c>
      <c r="B126" s="110">
        <v>72</v>
      </c>
      <c r="C126" s="111">
        <v>0.25862068965517243</v>
      </c>
      <c r="D126" s="330"/>
      <c r="E126" s="330"/>
      <c r="F126" s="112">
        <v>1</v>
      </c>
      <c r="G126" s="113">
        <f t="shared" si="5"/>
        <v>0.25862068965517243</v>
      </c>
      <c r="H126" s="112"/>
    </row>
    <row r="127" spans="1:8" ht="12.75">
      <c r="A127" s="109" t="s">
        <v>540</v>
      </c>
      <c r="B127" s="110">
        <v>230</v>
      </c>
      <c r="C127" s="111">
        <v>0.25396825396825395</v>
      </c>
      <c r="D127" s="330"/>
      <c r="E127" s="330"/>
      <c r="F127" s="112">
        <v>1</v>
      </c>
      <c r="G127" s="113">
        <f t="shared" si="5"/>
        <v>0.25396825396825395</v>
      </c>
      <c r="H127" s="112"/>
    </row>
    <row r="128" spans="1:8" ht="12.75">
      <c r="A128" s="109" t="s">
        <v>541</v>
      </c>
      <c r="B128" s="110">
        <v>200</v>
      </c>
      <c r="C128" s="111">
        <v>0.24444444444444444</v>
      </c>
      <c r="D128" s="330"/>
      <c r="E128" s="330"/>
      <c r="F128" s="112">
        <v>1</v>
      </c>
      <c r="G128" s="113">
        <f t="shared" si="5"/>
        <v>0.24444444444444444</v>
      </c>
      <c r="H128" s="112"/>
    </row>
    <row r="129" spans="1:8" ht="12.75">
      <c r="A129" s="109" t="s">
        <v>542</v>
      </c>
      <c r="B129" s="110">
        <v>140</v>
      </c>
      <c r="C129" s="111">
        <v>0.23809523809523808</v>
      </c>
      <c r="D129" s="330"/>
      <c r="E129" s="330"/>
      <c r="F129" s="112">
        <v>1</v>
      </c>
      <c r="G129" s="113">
        <f t="shared" si="5"/>
        <v>0.23809523809523808</v>
      </c>
      <c r="H129" s="112"/>
    </row>
    <row r="130" spans="1:8" ht="12.75">
      <c r="A130" s="109" t="s">
        <v>385</v>
      </c>
      <c r="B130" s="110">
        <v>935</v>
      </c>
      <c r="C130" s="111">
        <v>0.22666666666666666</v>
      </c>
      <c r="D130" s="330"/>
      <c r="E130" s="330"/>
      <c r="F130" s="112">
        <v>1</v>
      </c>
      <c r="G130" s="113">
        <f t="shared" si="5"/>
        <v>0.22666666666666666</v>
      </c>
      <c r="H130" s="112"/>
    </row>
    <row r="131" spans="1:8" ht="12.75">
      <c r="A131" s="109" t="s">
        <v>543</v>
      </c>
      <c r="B131" s="110">
        <v>203</v>
      </c>
      <c r="C131" s="111">
        <v>0.2222222222222222</v>
      </c>
      <c r="D131" s="330"/>
      <c r="E131" s="330"/>
      <c r="F131" s="112">
        <v>1</v>
      </c>
      <c r="G131" s="113">
        <f t="shared" si="5"/>
        <v>0.2222222222222222</v>
      </c>
      <c r="H131" s="112"/>
    </row>
    <row r="132" spans="1:8" ht="12.75">
      <c r="A132" s="109" t="s">
        <v>381</v>
      </c>
      <c r="B132" s="110">
        <v>209</v>
      </c>
      <c r="C132" s="111">
        <v>0.2222222222222222</v>
      </c>
      <c r="D132" s="330"/>
      <c r="E132" s="330"/>
      <c r="F132" s="112">
        <v>1</v>
      </c>
      <c r="G132" s="113">
        <f t="shared" si="5"/>
        <v>0.2222222222222222</v>
      </c>
      <c r="H132" s="112"/>
    </row>
    <row r="133" spans="1:8" ht="12.75">
      <c r="A133" s="109" t="s">
        <v>384</v>
      </c>
      <c r="B133" s="110">
        <v>251</v>
      </c>
      <c r="C133" s="111">
        <v>0.2111111111111111</v>
      </c>
      <c r="D133" s="330"/>
      <c r="E133" s="330"/>
      <c r="F133" s="112">
        <v>1</v>
      </c>
      <c r="G133" s="113">
        <f aca="true" t="shared" si="6" ref="G133:G144">C133/F133</f>
        <v>0.2111111111111111</v>
      </c>
      <c r="H133" s="112"/>
    </row>
    <row r="134" spans="1:8" ht="12.75">
      <c r="A134" s="109" t="s">
        <v>544</v>
      </c>
      <c r="B134" s="110">
        <v>182</v>
      </c>
      <c r="C134" s="111">
        <v>0.17083333333333334</v>
      </c>
      <c r="D134" s="330"/>
      <c r="E134" s="330"/>
      <c r="F134" s="112">
        <v>1</v>
      </c>
      <c r="G134" s="113">
        <f t="shared" si="6"/>
        <v>0.17083333333333334</v>
      </c>
      <c r="H134" s="112"/>
    </row>
    <row r="135" spans="1:8" ht="12.75">
      <c r="A135" s="109" t="s">
        <v>545</v>
      </c>
      <c r="B135" s="110">
        <v>194</v>
      </c>
      <c r="C135" s="111">
        <v>0.15517241379310345</v>
      </c>
      <c r="D135" s="330"/>
      <c r="E135" s="330"/>
      <c r="F135" s="112">
        <v>1</v>
      </c>
      <c r="G135" s="113">
        <f t="shared" si="6"/>
        <v>0.15517241379310345</v>
      </c>
      <c r="H135" s="112"/>
    </row>
    <row r="136" spans="1:8" ht="12.75">
      <c r="A136" s="109" t="s">
        <v>377</v>
      </c>
      <c r="B136" s="110">
        <v>51</v>
      </c>
      <c r="C136" s="111">
        <v>0.14444444444444443</v>
      </c>
      <c r="D136" s="330"/>
      <c r="E136" s="330"/>
      <c r="F136" s="112">
        <v>1</v>
      </c>
      <c r="G136" s="113">
        <f t="shared" si="6"/>
        <v>0.14444444444444443</v>
      </c>
      <c r="H136" s="112"/>
    </row>
    <row r="137" spans="1:8" ht="12.75">
      <c r="A137" s="109" t="s">
        <v>546</v>
      </c>
      <c r="B137" s="110">
        <v>42</v>
      </c>
      <c r="C137" s="111">
        <v>0.14285714285714285</v>
      </c>
      <c r="D137" s="330"/>
      <c r="E137" s="330"/>
      <c r="F137" s="112">
        <v>1</v>
      </c>
      <c r="G137" s="113">
        <f t="shared" si="6"/>
        <v>0.14285714285714285</v>
      </c>
      <c r="H137" s="112"/>
    </row>
    <row r="138" spans="1:8" ht="12.75">
      <c r="A138" s="109" t="s">
        <v>372</v>
      </c>
      <c r="B138" s="110">
        <v>139</v>
      </c>
      <c r="C138" s="111">
        <v>0.14</v>
      </c>
      <c r="D138" s="330"/>
      <c r="E138" s="330"/>
      <c r="F138" s="112">
        <v>1</v>
      </c>
      <c r="G138" s="113">
        <f t="shared" si="6"/>
        <v>0.14</v>
      </c>
      <c r="H138" s="112"/>
    </row>
    <row r="139" spans="1:8" ht="12.75">
      <c r="A139" s="109" t="s">
        <v>547</v>
      </c>
      <c r="B139" s="110">
        <v>99</v>
      </c>
      <c r="C139" s="111">
        <v>0.12244897959183673</v>
      </c>
      <c r="D139" s="330"/>
      <c r="E139" s="330"/>
      <c r="F139" s="112">
        <v>1</v>
      </c>
      <c r="G139" s="113">
        <f t="shared" si="6"/>
        <v>0.12244897959183673</v>
      </c>
      <c r="H139" s="112"/>
    </row>
    <row r="140" spans="1:8" ht="12.75">
      <c r="A140" s="109" t="s">
        <v>548</v>
      </c>
      <c r="B140" s="110">
        <v>204</v>
      </c>
      <c r="C140" s="111">
        <v>0.1111111111111111</v>
      </c>
      <c r="D140" s="330"/>
      <c r="E140" s="330"/>
      <c r="F140" s="112">
        <v>1</v>
      </c>
      <c r="G140" s="113">
        <f t="shared" si="6"/>
        <v>0.1111111111111111</v>
      </c>
      <c r="H140" s="112"/>
    </row>
    <row r="141" spans="1:8" ht="12.75">
      <c r="A141" s="109" t="s">
        <v>371</v>
      </c>
      <c r="B141" s="110">
        <v>149</v>
      </c>
      <c r="C141" s="111">
        <v>0.1</v>
      </c>
      <c r="D141" s="330"/>
      <c r="E141" s="330"/>
      <c r="F141" s="112">
        <v>1</v>
      </c>
      <c r="G141" s="113">
        <f t="shared" si="6"/>
        <v>0.1</v>
      </c>
      <c r="H141" s="112"/>
    </row>
    <row r="142" spans="1:8" ht="12.75">
      <c r="A142" s="109" t="s">
        <v>549</v>
      </c>
      <c r="B142" s="110">
        <v>53</v>
      </c>
      <c r="C142" s="111">
        <v>0.08571428571428572</v>
      </c>
      <c r="D142" s="330"/>
      <c r="E142" s="330"/>
      <c r="F142" s="112">
        <v>1</v>
      </c>
      <c r="G142" s="113">
        <f t="shared" si="6"/>
        <v>0.08571428571428572</v>
      </c>
      <c r="H142" s="112"/>
    </row>
    <row r="143" spans="1:8" ht="12.75">
      <c r="A143" s="109" t="s">
        <v>550</v>
      </c>
      <c r="B143" s="110">
        <v>38</v>
      </c>
      <c r="C143" s="111">
        <v>0.03333333333333333</v>
      </c>
      <c r="D143" s="330"/>
      <c r="E143" s="330"/>
      <c r="F143" s="112">
        <v>1</v>
      </c>
      <c r="G143" s="113">
        <f t="shared" si="6"/>
        <v>0.03333333333333333</v>
      </c>
      <c r="H143" s="112"/>
    </row>
    <row r="144" spans="1:8" ht="12.75">
      <c r="A144" s="109" t="s">
        <v>551</v>
      </c>
      <c r="B144" s="110">
        <v>913</v>
      </c>
      <c r="C144" s="111">
        <v>0</v>
      </c>
      <c r="D144" s="330"/>
      <c r="E144" s="330"/>
      <c r="F144" s="112">
        <v>1</v>
      </c>
      <c r="G144" s="113">
        <f t="shared" si="6"/>
        <v>0</v>
      </c>
      <c r="H144" s="112"/>
    </row>
    <row r="145" ht="12.75">
      <c r="A145" s="120" t="s">
        <v>552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hunts</dc:creator>
  <cp:keywords/>
  <dc:description/>
  <cp:lastModifiedBy>Anne Noris</cp:lastModifiedBy>
  <cp:lastPrinted>2011-03-30T15:55:09Z</cp:lastPrinted>
  <dcterms:created xsi:type="dcterms:W3CDTF">2011-02-04T01:55:00Z</dcterms:created>
  <dcterms:modified xsi:type="dcterms:W3CDTF">2011-04-01T22:43:54Z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935040851</vt:i4>
  </property>
  <property fmtid="{D5CDD505-2E9C-101B-9397-08002B2CF9AE}" pid="3" name="_NewReviewCycle">
    <vt:lpwstr/>
  </property>
  <property fmtid="{D5CDD505-2E9C-101B-9397-08002B2CF9AE}" pid="4" name="_EmailSubject">
    <vt:lpwstr>Corridor Analysis Fun</vt:lpwstr>
  </property>
  <property fmtid="{D5CDD505-2E9C-101B-9397-08002B2CF9AE}" pid="5" name="_AuthorEmail">
    <vt:lpwstr>Stephen.Hunt@kingcounty.gov</vt:lpwstr>
  </property>
  <property fmtid="{D5CDD505-2E9C-101B-9397-08002B2CF9AE}" pid="6" name="_AuthorEmailDisplayName">
    <vt:lpwstr>Hunt, Stephen</vt:lpwstr>
  </property>
  <property fmtid="{D5CDD505-2E9C-101B-9397-08002B2CF9AE}" pid="7" name="_ReviewingToolsShownOnce">
    <vt:lpwstr/>
  </property>
</Properties>
</file>